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740" windowHeight="8268" tabRatio="783" firstSheet="5" activeTab="5"/>
  </bookViews>
  <sheets>
    <sheet name="9 эт." sheetId="1" state="hidden" r:id="rId1"/>
    <sheet name="5 эт." sheetId="2" state="hidden" r:id="rId2"/>
    <sheet name="3 эт. без 1 благоустройства" sheetId="3" state="hidden" r:id="rId3"/>
    <sheet name="3 эт. без 2 благоустройства " sheetId="4" state="hidden" r:id="rId4"/>
    <sheet name="спецодежда" sheetId="5" state="hidden" r:id="rId5"/>
    <sheet name="свод по видам" sheetId="6" r:id="rId6"/>
  </sheets>
  <definedNames>
    <definedName name="_xlnm.Print_Titles" localSheetId="5">'свод по видам'!$9:$10</definedName>
    <definedName name="_xlnm.Print_Area" localSheetId="2">'3 эт. без 1 благоустройства'!$A$1:$H$235</definedName>
    <definedName name="_xlnm.Print_Area" localSheetId="3">'3 эт. без 2 благоустройства '!$A$1:$H$235</definedName>
    <definedName name="_xlnm.Print_Area" localSheetId="1">'5 эт.'!$A$1:$H$238</definedName>
    <definedName name="_xlnm.Print_Area" localSheetId="0">'9 эт.'!$A$1:$H$255</definedName>
    <definedName name="_xlnm.Print_Area" localSheetId="5">'свод по видам'!$A$1:$D$142</definedName>
  </definedNames>
  <calcPr fullCalcOnLoad="1"/>
</workbook>
</file>

<file path=xl/sharedStrings.xml><?xml version="1.0" encoding="utf-8"?>
<sst xmlns="http://schemas.openxmlformats.org/spreadsheetml/2006/main" count="2267" uniqueCount="411">
  <si>
    <t>Площадь</t>
  </si>
  <si>
    <t>Норма</t>
  </si>
  <si>
    <t>Подметание полов во всех помещениях общего пользования (лестничных площадок и маршей, мест перед загрузочными камерами мусоропроводов, мест для бачков с пищевыми отходами) с предварительным их увлажнением</t>
  </si>
  <si>
    <t>Рабочий</t>
  </si>
  <si>
    <t>Разряд</t>
  </si>
  <si>
    <t>Трудоемкость чел.-час. в год</t>
  </si>
  <si>
    <t>Ведро</t>
  </si>
  <si>
    <t>Веник обыкновенный</t>
  </si>
  <si>
    <t>Совок</t>
  </si>
  <si>
    <t>Швабра</t>
  </si>
  <si>
    <t>Щетка</t>
  </si>
  <si>
    <t>Материалы</t>
  </si>
  <si>
    <t>Подметание и влажная уборка полов кабины лифта. Мытье пола кабины лифта с периодической сменой воды или моющего раствора</t>
  </si>
  <si>
    <t>Подметание территории, уборка и транспортировка мусора в установленное место</t>
  </si>
  <si>
    <t>Дворник</t>
  </si>
  <si>
    <t>Грабли</t>
  </si>
  <si>
    <t>Лопата совковая</t>
  </si>
  <si>
    <t>Метла березовая</t>
  </si>
  <si>
    <t>Мешки полиэтиленовые емкостью 20 л</t>
  </si>
  <si>
    <t>Тележка</t>
  </si>
  <si>
    <t>Очистка урн от мусора. Транспортировка мусора в установленное место</t>
  </si>
  <si>
    <t>Движок</t>
  </si>
  <si>
    <t>Лопата штыковая</t>
  </si>
  <si>
    <t>Скребок</t>
  </si>
  <si>
    <t>Подметание свежевыпавшего снега. Сдвигание свежевыпавшего снега движком в валы или кучи</t>
  </si>
  <si>
    <t>Слесарь-сантехник</t>
  </si>
  <si>
    <t xml:space="preserve">Асфальтобетонщик </t>
  </si>
  <si>
    <t>Асфальтобетонщик</t>
  </si>
  <si>
    <t>Подсобный рабочий</t>
  </si>
  <si>
    <t>Асфальт литой</t>
  </si>
  <si>
    <t>т</t>
  </si>
  <si>
    <t>Выемка стекол с очисткой фальцев и снятием штапиков. Нарезка и прирезка стекол. Промазка фальцев стекол или обкладывание проволокой (при установке стекол на эластичных прокладках). Вставка стекол с укреплением их и установкой штапиков. Протирка стекол.</t>
  </si>
  <si>
    <t>Стекольщик</t>
  </si>
  <si>
    <t>Стекло</t>
  </si>
  <si>
    <t>Прокладка резиновая</t>
  </si>
  <si>
    <t>Штапики</t>
  </si>
  <si>
    <t>кг</t>
  </si>
  <si>
    <t>м</t>
  </si>
  <si>
    <t xml:space="preserve">Малый и большой ремонт дверных полотен: снятие дверного полотна; прирезка и пригонка дверных полотен к проему; установка планки; заделка гнезд после удаления замков; заготовка брусков обвязки по размеру и профилю вручную; ремонт дверных порогов; укрепление дверных наличников; навеска дверного полотна на петли.
Смена дверных петель: снятие дверного полотна; снятие петель с отвинчиванием шурупов; заделка отверстий из-под шурупов или гнезд под петли.
Смена дверных приборов (ручек, пружин, замков).
Ремонт коробок: выправление перекосов коробки с закреплением клиньями, закрепление коробки дополнительными ершами, пристрожка четвертей коробки.
Смена дверного блока. Обивка дверей железом с двух сторон. Окраска дверей.
</t>
  </si>
  <si>
    <t xml:space="preserve">Обертывание дымовентиляционных каналов на чердаках домов матами из крафтбумаги и стекловаты. Осмотр теплоизоляции восстановление разрушенной тепловой изоляции.
Прочистка засоренных дымовентиляционных каналов: удаление засорения с проверкой каналов, пробивка в каналах прочистных отверстий по мере необходимости, заделка прочистных отверстий, оштукатуривание мест заделки.
</t>
  </si>
  <si>
    <t xml:space="preserve">Слесарь по ремонту и обслуживанию систем вентиляции и кондиционирования </t>
  </si>
  <si>
    <t>Проверка заземления оболочки электрокабеля, замеры сопротивления изоляции проводов в местах общего пользования и подвалах. Укрепление электропроводки. Устранение незначительных неисправностей электротехнических устройств.</t>
  </si>
  <si>
    <t>Единица измерения</t>
  </si>
  <si>
    <t>Материалоемкость, ед. в год</t>
  </si>
  <si>
    <r>
      <t>м</t>
    </r>
    <r>
      <rPr>
        <vertAlign val="superscript"/>
        <sz val="10"/>
        <color indexed="63"/>
        <rFont val="Times New Roman"/>
        <family val="1"/>
      </rPr>
      <t>3</t>
    </r>
  </si>
  <si>
    <r>
      <t>м</t>
    </r>
    <r>
      <rPr>
        <vertAlign val="superscript"/>
        <sz val="10"/>
        <color indexed="63"/>
        <rFont val="Times New Roman"/>
        <family val="1"/>
      </rPr>
      <t>2</t>
    </r>
  </si>
  <si>
    <t>Часовая тарифная ставка</t>
  </si>
  <si>
    <t>Стоимость ед.</t>
  </si>
  <si>
    <t>ИТОГО</t>
  </si>
  <si>
    <t>Стоимость на 1 кв.м / мес.</t>
  </si>
  <si>
    <t>Моющее средство</t>
  </si>
  <si>
    <t>Количество этажей</t>
  </si>
  <si>
    <t>Количество подъездов</t>
  </si>
  <si>
    <t>Рабочий по комплексному обслуживанию и ремонту зданий</t>
  </si>
  <si>
    <t xml:space="preserve">Рабочий по комплексному обслуживанию и ремонту зданий </t>
  </si>
  <si>
    <t>Тарифная ставка с 01.01.2014 года</t>
  </si>
  <si>
    <t>руб.</t>
  </si>
  <si>
    <t>месячный часовой фонд</t>
  </si>
  <si>
    <t>часа</t>
  </si>
  <si>
    <t xml:space="preserve">Единая тарифная сетка по оплате труда работников </t>
  </si>
  <si>
    <t>Тарифный коэффициент</t>
  </si>
  <si>
    <t>Месячная тарифная ставка (руб.,коп.)</t>
  </si>
  <si>
    <t>шт.</t>
  </si>
  <si>
    <t>Столяр строительный</t>
  </si>
  <si>
    <t xml:space="preserve">Плотник </t>
  </si>
  <si>
    <t xml:space="preserve">Маляр </t>
  </si>
  <si>
    <t>Дверные петли</t>
  </si>
  <si>
    <t>Дверные ручки</t>
  </si>
  <si>
    <t>Дверные пружины</t>
  </si>
  <si>
    <t>пар</t>
  </si>
  <si>
    <t>Пена полиуретановая</t>
  </si>
  <si>
    <t>Шурупы стальные</t>
  </si>
  <si>
    <t>Гвозди</t>
  </si>
  <si>
    <t>л</t>
  </si>
  <si>
    <t>Изолировщик на гидроизоляции</t>
  </si>
  <si>
    <t>Трубы стальные 20 мм</t>
  </si>
  <si>
    <t>Арматура муфтовая</t>
  </si>
  <si>
    <t>Скоба</t>
  </si>
  <si>
    <t>Сурик</t>
  </si>
  <si>
    <t>Олифа</t>
  </si>
  <si>
    <t>Кронштейны</t>
  </si>
  <si>
    <t>Дюбели-гвозди</t>
  </si>
  <si>
    <t>Задвижки</t>
  </si>
  <si>
    <t>Проволока оцинкованная</t>
  </si>
  <si>
    <t>Минераловатные маты</t>
  </si>
  <si>
    <t>Ацетилен</t>
  </si>
  <si>
    <t>Резиновые прокладки</t>
  </si>
  <si>
    <t>Маты из крафт-бумаги</t>
  </si>
  <si>
    <t>Сетка металлическая 20×20 мм, Д= 1,5 мм</t>
  </si>
  <si>
    <t>Раствор асбоцементный</t>
  </si>
  <si>
    <t>Набивка для сальников</t>
  </si>
  <si>
    <t>Масло минеральное</t>
  </si>
  <si>
    <t>Прокладки паронитовые, 3 мм</t>
  </si>
  <si>
    <t>Болты с гайками</t>
  </si>
  <si>
    <t>Паста корундовая</t>
  </si>
  <si>
    <t>Вентиль</t>
  </si>
  <si>
    <t>Краны</t>
  </si>
  <si>
    <t>Фланцы стальные</t>
  </si>
  <si>
    <t>Электроды</t>
  </si>
  <si>
    <t>Асбест</t>
  </si>
  <si>
    <t>Паронит</t>
  </si>
  <si>
    <t>Лен трепаный</t>
  </si>
  <si>
    <r>
      <t>м</t>
    </r>
    <r>
      <rPr>
        <vertAlign val="superscript"/>
        <sz val="10"/>
        <color indexed="63"/>
        <rFont val="Verdana"/>
        <family val="2"/>
      </rPr>
      <t>3</t>
    </r>
  </si>
  <si>
    <t>Гипсовые вяжущие Г-3</t>
  </si>
  <si>
    <t>Растворы кладочные тяжелые известковые марки 10</t>
  </si>
  <si>
    <t>Штукатур</t>
  </si>
  <si>
    <t>Маляр</t>
  </si>
  <si>
    <t>Цементный раствор</t>
  </si>
  <si>
    <t>Краска</t>
  </si>
  <si>
    <t>Лента изоляционная</t>
  </si>
  <si>
    <t>Лента киперная</t>
  </si>
  <si>
    <t>Тариф на содержание и текущий ремонт</t>
  </si>
  <si>
    <t>с 01.07.2014, руб./м.кв./мес.</t>
  </si>
  <si>
    <t>ТБО</t>
  </si>
  <si>
    <t>КГМ</t>
  </si>
  <si>
    <t>314 (количество проживающих)*73,14 (данные обслуживающей лифты организации) / 7676 (площадь жилых помещений)</t>
  </si>
  <si>
    <t>=</t>
  </si>
  <si>
    <t>Дератизация</t>
  </si>
  <si>
    <t>Дезинсекция</t>
  </si>
  <si>
    <t>Наименование должности</t>
  </si>
  <si>
    <t>кол-во</t>
  </si>
  <si>
    <t>зар.плата</t>
  </si>
  <si>
    <t>отчисления</t>
  </si>
  <si>
    <t>ИТОГО ФОТ</t>
  </si>
  <si>
    <t>З.п. на шт.</t>
  </si>
  <si>
    <t>шт.ед.</t>
  </si>
  <si>
    <t>численность</t>
  </si>
  <si>
    <t>Директор</t>
  </si>
  <si>
    <t>Бухгалтер</t>
  </si>
  <si>
    <t>Инженер</t>
  </si>
  <si>
    <t>Экономист</t>
  </si>
  <si>
    <t>Юрист</t>
  </si>
  <si>
    <t>Паспортист</t>
  </si>
  <si>
    <t>Диспетчер</t>
  </si>
  <si>
    <t>на 1 м2</t>
  </si>
  <si>
    <t>Прочие прямые расходы</t>
  </si>
  <si>
    <t>Начисление и прием платежей</t>
  </si>
  <si>
    <t>ВСЕГО затрат на управление</t>
  </si>
  <si>
    <t>по договору со специализированной организацией 3% от начисления</t>
  </si>
  <si>
    <t>Вид работ</t>
  </si>
  <si>
    <t>Цена, руб./кв.м</t>
  </si>
  <si>
    <t>Площадь обрабатываемой территории</t>
  </si>
  <si>
    <t>Периодичность, раз/год</t>
  </si>
  <si>
    <t>Стоимость в год</t>
  </si>
  <si>
    <t>Битум</t>
  </si>
  <si>
    <t xml:space="preserve">Стоимость в год   </t>
  </si>
  <si>
    <t>Работник</t>
  </si>
  <si>
    <t>Цена</t>
  </si>
  <si>
    <t>Норма в год</t>
  </si>
  <si>
    <t>Сумма в год без НДС</t>
  </si>
  <si>
    <t>Костюм летний</t>
  </si>
  <si>
    <t>Ботинки кожаные комбинированные (Рэм-46)</t>
  </si>
  <si>
    <t>Кепка летняя (темно-синий)</t>
  </si>
  <si>
    <t>Куртка утепл.</t>
  </si>
  <si>
    <t>Валенки на рез.основе</t>
  </si>
  <si>
    <t>Кепка утепл.</t>
  </si>
  <si>
    <t>Рукавицы х/б с брезентовой накладкой</t>
  </si>
  <si>
    <t>ИТОГО на год</t>
  </si>
  <si>
    <t>Убощик</t>
  </si>
  <si>
    <t>Халат х/б</t>
  </si>
  <si>
    <t>Ботинки кож.</t>
  </si>
  <si>
    <t>Сапоги резин.</t>
  </si>
  <si>
    <t>Перчатки резин.</t>
  </si>
  <si>
    <t xml:space="preserve">Костюм на утепленной подкладке </t>
  </si>
  <si>
    <t>Костюм брезентовый или Костюм х/б с водоот. пропиткой</t>
  </si>
  <si>
    <t>1 на 1,5 г</t>
  </si>
  <si>
    <t>Сапоги резиновые</t>
  </si>
  <si>
    <t>Перчатки резиновые</t>
  </si>
  <si>
    <t>Дежурные</t>
  </si>
  <si>
    <t>Очки защитные</t>
  </si>
  <si>
    <t>До износа</t>
  </si>
  <si>
    <t>1 на 2 г.</t>
  </si>
  <si>
    <t>Валенки с рез низом или сапоги кож утепленные</t>
  </si>
  <si>
    <t>1 на 2,5 г.</t>
  </si>
  <si>
    <t>Электромонтер</t>
  </si>
  <si>
    <t xml:space="preserve">Костюм или полукомбенизон  х/б или из смешанных тканей для защиты от общих произв-х загрязнений и мех. воздействий </t>
  </si>
  <si>
    <t>12 или 18</t>
  </si>
  <si>
    <t>Ботинки кож. или сапоги кирз.</t>
  </si>
  <si>
    <t>1 пара</t>
  </si>
  <si>
    <t>Галоши диэликтрические</t>
  </si>
  <si>
    <t>до износа</t>
  </si>
  <si>
    <t>Перчатки диэликтрические</t>
  </si>
  <si>
    <t>Каска защитная</t>
  </si>
  <si>
    <t>1 на 2г</t>
  </si>
  <si>
    <t>Электрогазосварщик</t>
  </si>
  <si>
    <t>Костюм брезентовый или костюм сварщика</t>
  </si>
  <si>
    <t>Ботинки кож с жестким подноском</t>
  </si>
  <si>
    <t>Сапоги рез. с жестким подносом</t>
  </si>
  <si>
    <t>Рукавицы брезентовые или краги сварщика</t>
  </si>
  <si>
    <t>Очки защитные или щиток защитный</t>
  </si>
  <si>
    <t>Валенки с рез низом или сапоги (ботинки) кож утепленные с жестким подноском</t>
  </si>
  <si>
    <t>1 на 2,5</t>
  </si>
  <si>
    <t>Перчатки с защитным покрытием, морозостойкие с шерст. вкладышами</t>
  </si>
  <si>
    <t>Костюм на утепляющей подкладке или для защиты от пониженных температур из смешанной или шерстянной или костюм сварщика</t>
  </si>
  <si>
    <t>1 на 2 года</t>
  </si>
  <si>
    <t>Кровельщик</t>
  </si>
  <si>
    <t>Костюм сигнальный с водоотталкивающей пропиткой 3-го класса защиты</t>
  </si>
  <si>
    <t>Костюм сигнальный на утепляющей прокладке 3-го класса защиты</t>
  </si>
  <si>
    <t>Ботинки кож или сапоги резиновые</t>
  </si>
  <si>
    <t>Ботинки кож утепленные с жестким подноском</t>
  </si>
  <si>
    <t>Рукавицы комбинированные или перчатки с полимерным покрытием</t>
  </si>
  <si>
    <t>Костюм из смешанных тканей для защиты от общих производственных загрязнений и механических воздействий</t>
  </si>
  <si>
    <t xml:space="preserve">Костюм на утепляющей прокладке </t>
  </si>
  <si>
    <t>Респиратор</t>
  </si>
  <si>
    <t>Головной убор</t>
  </si>
  <si>
    <t>Расходы управляющих компаний на обслуживание ВДГО составляют от 0,15 до 0,20 руб/кв.м</t>
  </si>
  <si>
    <t>Совок мет.</t>
  </si>
  <si>
    <t>Ветошь</t>
  </si>
  <si>
    <t>годовая норма времени</t>
  </si>
  <si>
    <t>Спецодежда</t>
  </si>
  <si>
    <t>Сумма в год с НДС</t>
  </si>
  <si>
    <t>Стоимость , руб./час</t>
  </si>
  <si>
    <t>Расчет затрат на спецодежду</t>
  </si>
  <si>
    <t>Годовая норма времени</t>
  </si>
  <si>
    <t>часов</t>
  </si>
  <si>
    <t>Общая площадь, кв.м</t>
  </si>
  <si>
    <t>Площадь жилых помещений, кв.м</t>
  </si>
  <si>
    <t>Площадь мест общего пользования, кв.м</t>
  </si>
  <si>
    <t>Площадь придомовой территории, кв.м</t>
  </si>
  <si>
    <t>асфальт, кв.м</t>
  </si>
  <si>
    <t>газон, кв.м</t>
  </si>
  <si>
    <t>Площадь подвала, кв.м</t>
  </si>
  <si>
    <t>Уровень фактических расходов управляющих организаций на текущий ремонт, определенный на основании анализа сведений, представляемых компаниями, зависит от технических характеристик МКД, степени износа и составляет 10-30 % от общих расходов на содержание и текущий ремонт. Учитывая высокий износ муниципального жилого фонда, расходы на ремонт заложены в размере 30 %.</t>
  </si>
  <si>
    <t>В зависимости от способа осуществления аварийного обслуживания (собственная аврийно-диспетчерская служба или договор с подрядной организацией) расходы в структуре затрат варьируются от 3 до 6 %</t>
  </si>
  <si>
    <t>Расходы управляющих компаний на данные работы составляют от 14 до 16 % от расходов на сан.очистку территории</t>
  </si>
  <si>
    <t>Стоимость в год (тарифная ставка + премия + резерв на отпуск + районный коэффициент + страховые взносы)</t>
  </si>
  <si>
    <t>Масляная краска</t>
  </si>
  <si>
    <t>Электромонтер по ремонту и обслуживанию электрооборудования</t>
  </si>
  <si>
    <t>4. Проверка состояния и ремонт продухов в цоколях зданий</t>
  </si>
  <si>
    <t>Техник-смотритель</t>
  </si>
  <si>
    <t>Проведение технических осмотров, регулировка, испытание, устранение незначительных неисправностей, подготовка к сезонной эксплуатации внутридомовых инженерных сетей (кроме газоснабжения)</t>
  </si>
  <si>
    <t>Подметание территории, уборка и транспортировка мусора в установленное место, уход за насаждениями</t>
  </si>
  <si>
    <t>Уборка мусора, сучьев и листвы с газонов. Транспортировка мусора в установленное место</t>
  </si>
  <si>
    <t>Разломка и обрубка краев отмостки на поврежденных площадях. Очистка основания. Смазка битумом краев покрытий и оснований. Кладка, разравнивание и уплотнение асфальтобетонной смеси валиком. Уборка отходов. Погрузка старого асфальта и отходов на самосвал вручную</t>
  </si>
  <si>
    <t xml:space="preserve">Обертывание дымовентиляционных каналов на чердаках домов матами из крафтбумаги и стекловаты. Осмотр теплоизоляции восстановление разрушенной тепловой изоляции.
Прочистка засоренных дымовентиляционных каналов: удаление засорения с проверкой каналов, пробивка в каналах прочистных отверстий по мере необходимости, заделка прочистных отверстий, оштукатуривание мест заделки
</t>
  </si>
  <si>
    <t>Проверка заземления оболочки электрокабеля, замеры сопротивления изоляции проводов в местах общего пользования и подвалах. Укрепление электропроводки. Устранение незначительных неисправностей электротехнических устройств</t>
  </si>
  <si>
    <t>Уборка лестничных площадок и маршей</t>
  </si>
  <si>
    <t>Уборка кабин лифтов</t>
  </si>
  <si>
    <t>Подметание земельного участка в летний период</t>
  </si>
  <si>
    <t>Содержание помещений общего пользования</t>
  </si>
  <si>
    <t>Уборка мусора с газона</t>
  </si>
  <si>
    <t>Очистка урн</t>
  </si>
  <si>
    <t>Сдвижка и подметание снега при отсутсвии снегопада</t>
  </si>
  <si>
    <t>Сдвижка и подметание снега при снегопаде</t>
  </si>
  <si>
    <t>Механизированная уборка территории от снега, опиловка деревьев</t>
  </si>
  <si>
    <t>Проведение технических осмотров и мелкого ремонта, подготовка многоквартирного дома к сезонной эксплуатации</t>
  </si>
  <si>
    <t>Ремонт просевшей отмостки вручную</t>
  </si>
  <si>
    <t>Замена разбитых стекол окон и дверей в помещениях общего пользования</t>
  </si>
  <si>
    <t>Ремонт и укрепление входных дверей</t>
  </si>
  <si>
    <t>Содержание внутридомовых инженерных сетей</t>
  </si>
  <si>
    <t>Проведение то и устранение незначительных неисправностей в системе вентиляции</t>
  </si>
  <si>
    <t>Проведение технических осмотров и устранение незначительных неисправностей электрики</t>
  </si>
  <si>
    <t>Вывоз ТБО и КГМ</t>
  </si>
  <si>
    <t>Обслуживание лифтового хозяйства</t>
  </si>
  <si>
    <t>Дератизация и дезинсекция</t>
  </si>
  <si>
    <t>Обслуживание внутридомового газового оборудования</t>
  </si>
  <si>
    <t>Затраты на управление МКД</t>
  </si>
  <si>
    <t>Аварийно-диспетчерское обслуживание</t>
  </si>
  <si>
    <t>Текущий ремонт</t>
  </si>
  <si>
    <t>Выемка стекол с очисткой фальцев и снятием штапиков. Нарезка и прирезка стекол. Промазка фальцев стекол или обкладывание проволокой (при установке стекол на эластичных прокладках). Вставка стекол с укреплением их и установкой штапиков. Протирка стекол</t>
  </si>
  <si>
    <t xml:space="preserve">Малый и большой ремонт дверных полотен: снятие дверного полотна; прирезка и пригонка дверных полотен к проему; установка планки; заделка гнезд после удаления замков; заготовка брусков обвязки по размеру и профилю вручную; ремонт дверных порогов; укрепление дверных наличников; навеска дверного полотна на петли.
Смена дверных петель: снятие дверного полотна; снятие петель с отвинчиванием шурупов; заделка отверстий из-под шурупов или гнезд под петли.
Смена дверных приборов (ручек, пружин, замков).
Ремонт коробок: выправление перекосов коробки с закреплением клиньями, закрепление коробки дополнительными ершами, пристрожка четвертей коробки.
Смена дверного блока. Обивка дверей железом с двух сторон. Окраска дверей
</t>
  </si>
  <si>
    <t>Проверка состояния и ремонт продухов в цоколях зданий</t>
  </si>
  <si>
    <t>Осмотр продухов, расчистка трещин или отбитых мест на продухах. Промывка расчищенных мест. Заделка ремонтируемых мест растворов с затиркой. Окраска площади ремонтируемой поверхности</t>
  </si>
  <si>
    <t>Вид услуги</t>
  </si>
  <si>
    <t>Тарифы специализированной организации</t>
  </si>
  <si>
    <t>Многоквартирные дома, имеющие все виды благоустройства (до 12 этажей) с лифтом</t>
  </si>
  <si>
    <t>Многоквартирные дома, имеющие все виды благоустройства (до 12 этажей) без лифта</t>
  </si>
  <si>
    <t>Многоквартирные дома, имеющие не все виды благоустройства (отсутствует один из видов благоустройства)</t>
  </si>
  <si>
    <t>Многоквартирные дома, имеющие не все виды благоустройства (отсутствует два и более видов благоустройства)</t>
  </si>
  <si>
    <t>Наименование</t>
  </si>
  <si>
    <t>ПЕРЕЧЕНЬ</t>
  </si>
  <si>
    <t>Периодичность</t>
  </si>
  <si>
    <t>Годовая плата, рублей</t>
  </si>
  <si>
    <t>Стоимость на 1 кв.м. общей площади (рублей в месяц)</t>
  </si>
  <si>
    <t xml:space="preserve">I. Работы, необходимые для надлежащего содержания несущих конструкций(фундаментов,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 </t>
  </si>
  <si>
    <t>1.Работы, выполняемые в отношении всех видов фундаментов:</t>
  </si>
  <si>
    <t xml:space="preserve">Исходя из Постановлений Госстроя РФ:
- №170 от 23.09.2003г.;
- №139 от 09.12.1999г. и других нормативных актов. 
</t>
  </si>
  <si>
    <t>- 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</si>
  <si>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 xml:space="preserve">  - проверка технического состояния видимых частей конструкций с выявлением: признаков неравномерных осадок фундамента, коррозии арматуры, расслаивания, трещин, выпучивания, отклонения от вертикали.  При выявлении нарушений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</si>
  <si>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 xml:space="preserve"> - проверка состояния гидроизоляции фундаментов и систем водоотвода фундамента. При выявлении нарушений- восстановление работоспособности.</t>
  </si>
  <si>
    <t xml:space="preserve">2. Работы, выполняемые в зданиях с подвалами:                                                                                               </t>
  </si>
  <si>
    <t>-проверка температурно-влажностного режима подвальных помещений и при выявлении нарушений устранение причин его нарушения;</t>
  </si>
  <si>
    <t xml:space="preserve"> -проверка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</si>
  <si>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-контроль за состоянием дверей подвалов и технических подполий, запорных устройств на них. Устранение выявленных неисправностей.</t>
  </si>
  <si>
    <t xml:space="preserve">3. Работы, выполняемые для надлежащего содержания стен дома: </t>
  </si>
  <si>
    <t xml:space="preserve">-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                                                                                                                                     </t>
  </si>
  <si>
    <t>-выявление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</si>
  <si>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 xml:space="preserve">4. Работы, выполняемые в целях надлежащего содержания перекрытий и покрытий дома:                           </t>
  </si>
  <si>
    <t>-выявление нарушений условий эксплуатации, несанкционированных изменений конструктивного решения, выявления прогибов, трещин и колебаний;</t>
  </si>
  <si>
    <t>-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арматуры;</t>
  </si>
  <si>
    <t>5. Работы, выполняемые в целях надлежащего содержания столбов дома:</t>
  </si>
  <si>
    <t xml:space="preserve">-выявление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  </t>
  </si>
  <si>
    <t>- 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бетона;</t>
  </si>
  <si>
    <t xml:space="preserve">- контроль состояния металлических закладных деталей; При выявлении повреждений и нарушений - разработка плана восстановительных работ (при необходимости), проведение восстановительных работ.                                                                                                                                                             </t>
  </si>
  <si>
    <t xml:space="preserve">6. Работы, выполняемые в целях надлежащего содержания балок (ригелей) перекрытий и покрытий многоквартирных домов:                                                                                                                                       </t>
  </si>
  <si>
    <t>-контроль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</si>
  <si>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 xml:space="preserve">-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зоне; 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</si>
  <si>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7. Работы, выполняемые в целях надлежащего содержания крыши дома:                                                      </t>
  </si>
  <si>
    <t>- проверка кровли на отсутствие протечек;</t>
  </si>
  <si>
    <t xml:space="preserve"> - проверка молниезащитных устройств, заземления мачт и другого оборудования, расположенного на крыше;                                                                                                                                                                       -выявление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осадочных и температурных швов, водоприемных воронок внутреннего водостока;</t>
  </si>
  <si>
    <t xml:space="preserve">- проверка состояния защитных бетонных плит и ограждений,  </t>
  </si>
  <si>
    <t>-  проверка температурно-влажностного режима и воздухообмена на чердаке;</t>
  </si>
  <si>
    <t>- проверка и при необходимости очистка кровли и водоотводящих устройств от мусора, грязи и наледи, препятствующих стоку дождевых и талых вод;                                                                                                                            -проверка и при необходимости очистка кровли от скопления снега и наледи;</t>
  </si>
  <si>
    <t xml:space="preserve"> -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</si>
  <si>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 xml:space="preserve">-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                                    
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
</t>
  </si>
  <si>
    <t xml:space="preserve">8. Работы, выполняемые в целях надлежащего содержания лестниц дома:                                                                       </t>
  </si>
  <si>
    <t>- выявление деформации и повреждений в несущих конструкциях, надежности крепления ограждений, выбоин и сколов в ступенях;</t>
  </si>
  <si>
    <t xml:space="preserve">-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проступях;   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</si>
  <si>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</si>
  <si>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9. Работы, выполняемые в целях надлежащего содержания фасадов дома:                                                          </t>
  </si>
  <si>
    <t>-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</si>
  <si>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- контроль состояния и работоспособности подсветки информационных знаков, входов в подъезды (домовые знаки и т.д.);</t>
  </si>
  <si>
    <t xml:space="preserve"> - выявление нарушений и эксплуатационных качеств несущих конструкций;  </t>
  </si>
  <si>
    <t>- выявление нарушений и эксплуатационных качеств несущих конструкций, гидроизоляции, элементов металлических ограждений на козырьках;</t>
  </si>
  <si>
    <t>- контроль состояния и восстановление или замена отдельных элементов крылец и зонтов над входами в здание, в подвалы;</t>
  </si>
  <si>
    <t>- контроль состояния и восстановление плотности притворов входных дверей, самозакрывающихся устройств (доводчики, пружины);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</si>
  <si>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10. Работы, выполняемые в целях надлежащего содержания перегородок дома:                                            </t>
  </si>
  <si>
    <t xml:space="preserve">-выявление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трубопроводов; </t>
  </si>
  <si>
    <t>- проверка звукоизоляции и огнезащиты;                                                                                                              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</si>
  <si>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 xml:space="preserve">11. Работы, выполняемые в целях надлежащего содержания внутренней отделки дома:                            </t>
  </si>
  <si>
    <t xml:space="preserve">- проверка состояния внутренней отделки. 
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
</t>
  </si>
  <si>
    <t>12. Работы, выполняемые в целях надлежащего содержания полов помещений, относящихся к общему имуществу дома:</t>
  </si>
  <si>
    <t xml:space="preserve">- проверка состояния основания, поверхностного слоя.                                                             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</si>
  <si>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 xml:space="preserve">13. Работы, выполняемые в целях надлежащего содержания оконных и дверных заполнений помещений, относящихся к общему имуществу дома:                                                                                         </t>
  </si>
  <si>
    <t>-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дома;                                                                                                       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</si>
  <si>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 xml:space="preserve">Итого по работам, необходимым для надлежащего содержания несущих конструкций(фундаментов, стен, колонн и столбов, перекрытий и покрытий, балок, ригелей, лестниц, несущихэлементов крыш) и ненесущих конструкций (перегородок,внутренней отделки, полов) </t>
  </si>
  <si>
    <t>II. Работы, необходимые для надлежащего содержания оборудования и систем инженерно-технического обеспечения, входящих в состав общего имущества  дома</t>
  </si>
  <si>
    <t xml:space="preserve">14. Работы, выполняемые в целях надлежащего содержания систем вентиляции и дымоудаления дома: </t>
  </si>
  <si>
    <t xml:space="preserve">Исходя из Постановлений Госстроя РФ:
- №170 от 23.09.2003г.;
- №139 от 09.12.1999г. и других нормативных актов.
</t>
  </si>
  <si>
    <t xml:space="preserve">-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 </t>
  </si>
  <si>
    <t xml:space="preserve">- контроль состояния, выявление и устранение причин недопустимых вибраций и шума при работе вентиляционной установки; </t>
  </si>
  <si>
    <t xml:space="preserve">-проверка утепления теплых чердаков, плотности закрытия входов на них;                                                                                                                        </t>
  </si>
  <si>
    <t>- устранение неплотностей в вентиляционных каналах и шахтах, устранение засоров в каналах,                      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</si>
  <si>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 xml:space="preserve">- контроль и обеспечение исправного состояния систем автоматического дымоудаления;
При выявлении повреждений и нарушений - разработка плана восстановительных работ (при необходимости), проведение восстановительных работ.
</t>
  </si>
  <si>
    <t>15. Работы, выполняемые в целях надлежащего содержания индивидуальных тепловых пунктов и водоподкачек в многоквартирных домах:</t>
  </si>
  <si>
    <t xml:space="preserve">Исходя из Постановлений Госстроя РФ:
- №170 от 23.09.2003г.;
- №139 от 09.12.1999г. 
Постановление Правительства РФ от 06.05.2011г. №354 (с изменениями и дополнениями) и других нормативных актов.
</t>
  </si>
  <si>
    <t>-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</si>
  <si>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-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</si>
  <si>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- гидравлические и тепловые испытания оборудования индивидуальных тепловых пунктов и водоподкачек;</t>
  </si>
  <si>
    <t>- работы по очистке теплообменного оборудования для удаления накипно-коррозионных отложений;</t>
  </si>
  <si>
    <t>- 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</si>
  <si>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16. Общие работы, выполняемые для надлежащего содержания систем водоснабжения (холодного и горячего), отопления и водоотведения в доме:</t>
  </si>
  <si>
    <t>-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</si>
  <si>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-постоянный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</si>
  <si>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 xml:space="preserve">-контроль состояния и замена неисправных контрольно-измерительных приборов (манометров, термометров и т.п.);                                                                                                                                                   </t>
  </si>
  <si>
    <t>-восстановление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доме;</t>
  </si>
  <si>
    <t>- 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</si>
  <si>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-контроль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</si>
  <si>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-промывка участков водопровода после выполнения ремонтно-строительных работ на водопроводе;</t>
  </si>
  <si>
    <t>-промывка систем водоснабжения для удаления накипно-коррозионных отложений.</t>
  </si>
  <si>
    <t>17. Работы, выполняемые в целях надлежащего содержания систем теплоснабжения (отопление, горячее водоснабжение) в многоквартирных домах:</t>
  </si>
  <si>
    <t>- испытания на прочность и плотность (гидравлические испытания) узлов ввода и систем отопления, промывка и регулировка систем отопления;</t>
  </si>
  <si>
    <t>-  проведение пробных пусконаладочных работ (пробные топки);</t>
  </si>
  <si>
    <t>-   удаление воздуха из системы отопления;</t>
  </si>
  <si>
    <t>- промывка централизованных систем теплоснабжения для удаления накипно-коррозионных отложений.</t>
  </si>
  <si>
    <t xml:space="preserve">18. Работы, выполняемые в целях надлежащего содержания электрооборудования, радио- и телекоммуникационного оборудования в доме:                                                                                                  </t>
  </si>
  <si>
    <t>-проверка заземления оболочки электрокабеля, оборудования (насосы, щитовые вентиляторы и др.);</t>
  </si>
  <si>
    <t>-замеры сопротивления изоляции проводов, трубопроводов и восстановление цепей заземления по результатам проверки;</t>
  </si>
  <si>
    <t xml:space="preserve"> -проверка и обеспечение работоспособности устройств защитного отключения;</t>
  </si>
  <si>
    <t>- 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и внутридомовых электросетей, очистка клемм и соединений в групповых щитках и распределительных шкафах, наладка электрооборудования;</t>
  </si>
  <si>
    <t>- контроль состояния и замена вышедших из строя датчиков, проводки и оборудования пожарной и охранной сигнализации.</t>
  </si>
  <si>
    <t>19. Работы, выполняемые в целях надлежащего содержания и ремонта лифта (лифтов) в многоквартирном доме:</t>
  </si>
  <si>
    <t>- организация системы диспетчерского контроля и обеспечение диспетчерской связи с кабиной лифта;</t>
  </si>
  <si>
    <t xml:space="preserve"> -обеспечение проведения осмотров, технического обслуживания и ремонт лифта (лифтов);</t>
  </si>
  <si>
    <t>-обеспечение проведения технического освидетельствования лифта (лифтов), в том числе после замены элементов оборудования,</t>
  </si>
  <si>
    <t>- техническое обслуживание и ремонт лифтов.</t>
  </si>
  <si>
    <t>Итого по работам, необходимым для надлежащего содержания оборудования и систем инженерно-технического обеспечения, входящих в состав общего имущества  дома</t>
  </si>
  <si>
    <t xml:space="preserve">III. Работы и услуги по содержанию иного общего имущества дома </t>
  </si>
  <si>
    <t xml:space="preserve">20. Работы по содержанию помещений, входящих в состав общего имущества в доме:  </t>
  </si>
  <si>
    <t>- сухая и влажная уборка тамбуров, холлов, коридоров, галерей, лифтовых площадок и лифтовых холлов и кабин, лестничных площадок и маршей, пандусов;</t>
  </si>
  <si>
    <t xml:space="preserve">-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дверных ручек; </t>
  </si>
  <si>
    <t xml:space="preserve">- мытье окон; </t>
  </si>
  <si>
    <t xml:space="preserve"> - очистка систем защиты от грязи (металлических решеток, ячеистых покрытий, приямков);</t>
  </si>
  <si>
    <t xml:space="preserve">- проведение дератизации и дезинсекции помещений, входящих в состав общего имущества в доме. </t>
  </si>
  <si>
    <t xml:space="preserve">21. Работы по содержанию земельного участка, на котором расположен дом, с элементами озеленения и благоустройства, иными объектами, предназначенными для обслуживания и эксплуатации этого дома (далее - придомовая территория)
 в холодный период года:                                                                          
</t>
  </si>
  <si>
    <t xml:space="preserve">Исходя из Постановлений Госстроя РФ:
- №170 от 23.09.2003г.;
- №139 от 09.12.1999г. 
Постановление Правительства РФ от 06.05.2011г. №354 (с изменениями и дополнениями);
СНиП III-10-75 «Благоустройство территорий» от 25.09.1975г. №158;
 и других нормативных актов.
</t>
  </si>
  <si>
    <t>- очистка крышек люков колодцев и пожарных гидрантов от снега и льда толщиной слоя свыше 5 см;</t>
  </si>
  <si>
    <t>- сдвигание свежевыпавшего снега и очистка придомовой территории от снега и льда при наличии колейности свыше 5 см;</t>
  </si>
  <si>
    <t>- очистка придомовой территории от снега наносного происхождения (или подметание такой территории, свободной от снежного покрова);</t>
  </si>
  <si>
    <t>- очистка придомовой территории от наледи и льда;</t>
  </si>
  <si>
    <t>- очистка от мусора урн, установленных возле подъездов, и их промывка, уборка контейнерных площадок, расположенных на придомовой территории общего имущества многоквартирного дома;</t>
  </si>
  <si>
    <t>- уборка крыльца и площадки перед входом в подъезд.</t>
  </si>
  <si>
    <t>22. Работы по содержанию придомовой территории в теплый период года:</t>
  </si>
  <si>
    <t>- подметание и уборка придомовой территории;</t>
  </si>
  <si>
    <t>- очистка от мусора и промывка урн, установленных возле подъездов, уборка контейнерных площадок, расположенных на территории общего имущества многоквартирного дома;</t>
  </si>
  <si>
    <t>- уборка и выкашивание газонов;</t>
  </si>
  <si>
    <t>- прочистка ливневой канализации;</t>
  </si>
  <si>
    <t xml:space="preserve">- уборка крыльца и площадки перед входом в подъезд, очистка металлической решетки и приямка.
</t>
  </si>
  <si>
    <t>24. 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</si>
  <si>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>25. Обеспечение устранения аварий в соответствии с установленными предельными сроками на внутридомовых инженерных системах в доме, выполнения заявок населения.</t>
  </si>
  <si>
    <t>Итого по работам и услугам по содержанию иного имущества дома</t>
  </si>
  <si>
    <t>IV. В целях обеспечения оказания услуг и выполнения работ, предусмотренных перечнем услуг и работ, лица, ответственные за содержание и ремонт общего имущества в многоквартирном доме, обязаны:</t>
  </si>
  <si>
    <t>- обеспечение работы аварийно-диспетчерской службы;</t>
  </si>
  <si>
    <t>- ведение и хранение технической документации на многоквартирный дом в установленном законодательством Российской Федерации порядке;</t>
  </si>
  <si>
    <t>- своевременное заключение договоров оказания услуг и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осуществление контроля за выполнением указанными организациями обязательств по таким договорам;</t>
  </si>
  <si>
    <t>- осуществлять подготовку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доводить их до сведения собственников помещений в многоквартирном доме в порядке, установленном жилищным законодательством Российской Федерации;</t>
  </si>
  <si>
    <t>-предоставлять потребителям услуг и работ, в том числе собственникам помещений в многоквартирном доме, информацию, связанную с оказанием услуг и выполнением работ, предусмотренных перечнем услуг и работ, раскрытие которой в соответствии с законодательством Российской Федерации является обязательным;</t>
  </si>
  <si>
    <t>- организовывать работу по начислению и сбору платы за содержание и ремонт жилых помещений;</t>
  </si>
  <si>
    <t>- организовать работу по взысканию задолженности по оплате жилых помещений</t>
  </si>
  <si>
    <t>Итого для целей обеспечения оказания услуг и выполнения работ, предусмотренных перечнем услуг и работ, лица, ответственные за содержание и ремонт общего имущества в многоквартирном доме:</t>
  </si>
  <si>
    <t>Утверждаю:</t>
  </si>
  <si>
    <r>
      <t>обязательных работ и услуг по содержанию и ремонту общего имущества в многоквартирном доме</t>
    </r>
    <r>
      <rPr>
        <b/>
        <sz val="13"/>
        <rFont val="Times New Roman"/>
        <family val="1"/>
      </rPr>
      <t>, являющегося объектом конкурса</t>
    </r>
  </si>
  <si>
    <t>выявление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конструкциями;
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</si>
  <si>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t xml:space="preserve"> -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арматуры;                                                                                                      -проверка состояния утеплителя, гидроизоляции и звукоизоляции, адгезии отделочных слоев к конструкциям перекрытия (покрытия);                                                                                                           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</si>
  <si>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"_____"______________20_____г.</t>
  </si>
  <si>
    <t>Постановление Правительства РФ от 03.04.2013 N 290 (ред. от 15.12.2018)</t>
  </si>
  <si>
    <t>адрес: Оренбургская область Первомайский район п.Рубежинский, ул.Челябинская, дом 2</t>
  </si>
  <si>
    <t xml:space="preserve">Глава администрации муниципального образования Рубежинский сельсовет Первомайского района Оренбургской области
</t>
  </si>
  <si>
    <t>________________  Н.П. Сергеев</t>
  </si>
  <si>
    <r>
      <t>461989 Оренбургская область Первомайский район п.Рубежинский ул.Специалистов,9
Телефон: 8(35348)47257
“</t>
    </r>
    <r>
      <rPr>
        <u val="single"/>
        <sz val="14"/>
        <color indexed="8"/>
        <rFont val="Times New Roman"/>
        <family val="1"/>
      </rPr>
      <t xml:space="preserve">        </t>
    </r>
    <r>
      <rPr>
        <sz val="14"/>
        <color indexed="8"/>
        <rFont val="Times New Roman"/>
        <family val="1"/>
      </rPr>
      <t xml:space="preserve">” </t>
    </r>
    <r>
      <rPr>
        <u val="single"/>
        <sz val="14"/>
        <color indexed="8"/>
        <rFont val="Times New Roman"/>
        <family val="1"/>
      </rPr>
      <t xml:space="preserve">                              </t>
    </r>
    <r>
      <rPr>
        <sz val="14"/>
        <color indexed="8"/>
        <rFont val="Times New Roman"/>
        <family val="1"/>
      </rPr>
      <t>20</t>
    </r>
    <r>
      <rPr>
        <u val="single"/>
        <sz val="14"/>
        <color indexed="8"/>
        <rFont val="Times New Roman"/>
        <family val="1"/>
      </rPr>
      <t xml:space="preserve">        </t>
    </r>
    <r>
      <rPr>
        <sz val="14"/>
        <color indexed="8"/>
        <rFont val="Times New Roman"/>
        <family val="1"/>
      </rPr>
      <t xml:space="preserve">г.
                   </t>
    </r>
    <r>
      <rPr>
        <sz val="8"/>
        <color indexed="8"/>
        <rFont val="Times New Roman"/>
        <family val="1"/>
      </rPr>
      <t xml:space="preserve">(дата утверждения)
</t>
    </r>
  </si>
  <si>
    <t>23. Организация накопления отходов I - IV 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</si>
</sst>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00"/>
    <numFmt numFmtId="186" formatCode="0.000000"/>
    <numFmt numFmtId="187" formatCode="0.00000"/>
    <numFmt numFmtId="188" formatCode="0.0000"/>
    <numFmt numFmtId="189" formatCode="0.00000000"/>
    <numFmt numFmtId="190" formatCode="#,##0.00_р_."/>
    <numFmt numFmtId="191" formatCode="0.0"/>
    <numFmt numFmtId="192" formatCode="000000"/>
    <numFmt numFmtId="193" formatCode="#,##0.00_ ;\-#,##0.00\ "/>
    <numFmt numFmtId="194" formatCode="0.0000000000"/>
    <numFmt numFmtId="195" formatCode="0.00000000000"/>
    <numFmt numFmtId="196" formatCode="0.000000000000"/>
    <numFmt numFmtId="197" formatCode="#,##0.0"/>
    <numFmt numFmtId="198" formatCode="#,##0.000"/>
  </numFmts>
  <fonts count="6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color indexed="63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color indexed="63"/>
      <name val="Times New Roman"/>
      <family val="1"/>
    </font>
    <font>
      <b/>
      <sz val="10"/>
      <name val="Times New Roman"/>
      <family val="1"/>
    </font>
    <font>
      <vertAlign val="superscript"/>
      <sz val="10"/>
      <color indexed="63"/>
      <name val="Times New Roman"/>
      <family val="1"/>
    </font>
    <font>
      <i/>
      <u val="single"/>
      <sz val="10"/>
      <name val="Times New Roman"/>
      <family val="1"/>
    </font>
    <font>
      <vertAlign val="superscript"/>
      <sz val="10"/>
      <color indexed="63"/>
      <name val="Verdana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8"/>
      <name val="Times New Roman"/>
      <family val="1"/>
    </font>
    <font>
      <b/>
      <u val="single"/>
      <sz val="8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2"/>
      <color indexed="10"/>
      <name val="Times New Roman"/>
      <family val="1"/>
    </font>
    <font>
      <sz val="10"/>
      <color indexed="63"/>
      <name val="Verdana"/>
      <family val="2"/>
    </font>
    <font>
      <b/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3"/>
      <name val="Times New Roman"/>
      <family val="1"/>
    </font>
    <font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thin"/>
      <right>
        <color indexed="63"/>
      </right>
      <top style="thin"/>
      <bottom/>
    </border>
    <border>
      <left style="thin"/>
      <right style="thin"/>
      <top style="thin"/>
      <bottom/>
    </border>
    <border>
      <left/>
      <right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medium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8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8" fillId="0" borderId="0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/>
    </xf>
    <xf numFmtId="2" fontId="6" fillId="33" borderId="10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9" fillId="34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wrapText="1"/>
    </xf>
    <xf numFmtId="184" fontId="20" fillId="0" borderId="1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22" fillId="0" borderId="0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6" fillId="0" borderId="0" xfId="0" applyFont="1" applyAlignment="1">
      <alignment horizontal="center"/>
    </xf>
    <xf numFmtId="0" fontId="13" fillId="0" borderId="0" xfId="0" applyFont="1" applyAlignment="1">
      <alignment/>
    </xf>
    <xf numFmtId="2" fontId="14" fillId="33" borderId="10" xfId="0" applyNumberFormat="1" applyFont="1" applyFill="1" applyBorder="1" applyAlignment="1">
      <alignment horizontal="right"/>
    </xf>
    <xf numFmtId="184" fontId="6" fillId="0" borderId="10" xfId="0" applyNumberFormat="1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10" fontId="24" fillId="0" borderId="1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3" fontId="6" fillId="0" borderId="10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2" fontId="6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4" fontId="24" fillId="0" borderId="10" xfId="0" applyNumberFormat="1" applyFont="1" applyBorder="1" applyAlignment="1">
      <alignment/>
    </xf>
    <xf numFmtId="2" fontId="9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wrapText="1"/>
    </xf>
    <xf numFmtId="3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Fill="1" applyBorder="1" applyAlignment="1">
      <alignment vertical="center"/>
    </xf>
    <xf numFmtId="0" fontId="24" fillId="0" borderId="10" xfId="0" applyFont="1" applyBorder="1" applyAlignment="1">
      <alignment vertical="center"/>
    </xf>
    <xf numFmtId="3" fontId="24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horizontal="center"/>
    </xf>
    <xf numFmtId="2" fontId="6" fillId="33" borderId="10" xfId="0" applyNumberFormat="1" applyFont="1" applyFill="1" applyBorder="1" applyAlignment="1">
      <alignment horizontal="center"/>
    </xf>
    <xf numFmtId="4" fontId="6" fillId="33" borderId="10" xfId="0" applyNumberFormat="1" applyFont="1" applyFill="1" applyBorder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20" fillId="0" borderId="0" xfId="0" applyFont="1" applyBorder="1" applyAlignment="1">
      <alignment horizontal="center" wrapText="1"/>
    </xf>
    <xf numFmtId="184" fontId="20" fillId="0" borderId="0" xfId="0" applyNumberFormat="1" applyFont="1" applyBorder="1" applyAlignment="1">
      <alignment horizontal="center" wrapText="1"/>
    </xf>
    <xf numFmtId="190" fontId="6" fillId="0" borderId="0" xfId="0" applyNumberFormat="1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190" fontId="6" fillId="35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/>
    </xf>
    <xf numFmtId="190" fontId="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/>
    </xf>
    <xf numFmtId="190" fontId="16" fillId="0" borderId="10" xfId="0" applyNumberFormat="1" applyFont="1" applyBorder="1" applyAlignment="1">
      <alignment horizontal="center" vertical="center"/>
    </xf>
    <xf numFmtId="4" fontId="16" fillId="0" borderId="10" xfId="0" applyNumberFormat="1" applyFont="1" applyBorder="1" applyAlignment="1">
      <alignment horizontal="center"/>
    </xf>
    <xf numFmtId="0" fontId="6" fillId="36" borderId="10" xfId="0" applyFont="1" applyFill="1" applyBorder="1" applyAlignment="1">
      <alignment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36" borderId="0" xfId="0" applyFont="1" applyFill="1" applyBorder="1" applyAlignment="1">
      <alignment wrapText="1"/>
    </xf>
    <xf numFmtId="190" fontId="6" fillId="0" borderId="0" xfId="0" applyNumberFormat="1" applyFont="1" applyBorder="1" applyAlignment="1">
      <alignment horizontal="center" vertical="center"/>
    </xf>
    <xf numFmtId="0" fontId="6" fillId="36" borderId="10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2" fontId="21" fillId="0" borderId="18" xfId="0" applyNumberFormat="1" applyFont="1" applyBorder="1" applyAlignment="1">
      <alignment/>
    </xf>
    <xf numFmtId="0" fontId="21" fillId="0" borderId="0" xfId="0" applyFont="1" applyAlignment="1">
      <alignment vertical="top"/>
    </xf>
    <xf numFmtId="0" fontId="6" fillId="0" borderId="0" xfId="0" applyFont="1" applyAlignment="1">
      <alignment vertical="top"/>
    </xf>
    <xf numFmtId="2" fontId="6" fillId="33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48" fillId="0" borderId="0" xfId="53">
      <alignment/>
      <protection/>
    </xf>
    <xf numFmtId="2" fontId="63" fillId="0" borderId="0" xfId="53" applyNumberFormat="1" applyFont="1">
      <alignment/>
      <protection/>
    </xf>
    <xf numFmtId="179" fontId="48" fillId="0" borderId="0" xfId="53" applyNumberFormat="1">
      <alignment/>
      <protection/>
    </xf>
    <xf numFmtId="0" fontId="65" fillId="0" borderId="0" xfId="53" applyFont="1">
      <alignment/>
      <protection/>
    </xf>
    <xf numFmtId="0" fontId="66" fillId="0" borderId="0" xfId="53" applyFont="1">
      <alignment/>
      <protection/>
    </xf>
    <xf numFmtId="0" fontId="66" fillId="0" borderId="10" xfId="53" applyFont="1" applyBorder="1" applyAlignment="1">
      <alignment horizontal="center" vertical="center"/>
      <protection/>
    </xf>
    <xf numFmtId="0" fontId="66" fillId="0" borderId="10" xfId="53" applyFont="1" applyBorder="1" applyAlignment="1">
      <alignment horizontal="center" vertical="center" wrapText="1"/>
      <protection/>
    </xf>
    <xf numFmtId="0" fontId="67" fillId="0" borderId="13" xfId="53" applyFont="1" applyBorder="1" applyAlignment="1">
      <alignment wrapText="1"/>
      <protection/>
    </xf>
    <xf numFmtId="2" fontId="66" fillId="0" borderId="13" xfId="53" applyNumberFormat="1" applyFont="1" applyBorder="1" applyAlignment="1">
      <alignment horizontal="center" vertical="top" wrapText="1"/>
      <protection/>
    </xf>
    <xf numFmtId="49" fontId="66" fillId="0" borderId="19" xfId="53" applyNumberFormat="1" applyFont="1" applyBorder="1" applyAlignment="1">
      <alignment wrapText="1"/>
      <protection/>
    </xf>
    <xf numFmtId="0" fontId="66" fillId="0" borderId="19" xfId="53" applyFont="1" applyBorder="1" applyAlignment="1">
      <alignment wrapText="1"/>
      <protection/>
    </xf>
    <xf numFmtId="0" fontId="66" fillId="0" borderId="19" xfId="53" applyFont="1" applyBorder="1" applyAlignment="1">
      <alignment vertical="top" wrapText="1"/>
      <protection/>
    </xf>
    <xf numFmtId="192" fontId="66" fillId="0" borderId="19" xfId="53" applyNumberFormat="1" applyFont="1" applyBorder="1" applyAlignment="1">
      <alignment wrapText="1"/>
      <protection/>
    </xf>
    <xf numFmtId="49" fontId="66" fillId="0" borderId="16" xfId="53" applyNumberFormat="1" applyFont="1" applyBorder="1" applyAlignment="1">
      <alignment wrapText="1"/>
      <protection/>
    </xf>
    <xf numFmtId="0" fontId="66" fillId="0" borderId="16" xfId="53" applyFont="1" applyBorder="1" applyAlignment="1">
      <alignment wrapText="1"/>
      <protection/>
    </xf>
    <xf numFmtId="0" fontId="66" fillId="0" borderId="16" xfId="53" applyFont="1" applyBorder="1" applyAlignment="1">
      <alignment vertical="top" wrapText="1"/>
      <protection/>
    </xf>
    <xf numFmtId="49" fontId="67" fillId="0" borderId="13" xfId="53" applyNumberFormat="1" applyFont="1" applyBorder="1" applyAlignment="1">
      <alignment wrapText="1"/>
      <protection/>
    </xf>
    <xf numFmtId="192" fontId="66" fillId="0" borderId="16" xfId="53" applyNumberFormat="1" applyFont="1" applyBorder="1" applyAlignment="1">
      <alignment wrapText="1"/>
      <protection/>
    </xf>
    <xf numFmtId="49" fontId="66" fillId="0" borderId="16" xfId="53" applyNumberFormat="1" applyFont="1" applyBorder="1" applyAlignment="1">
      <alignment vertical="top" wrapText="1"/>
      <protection/>
    </xf>
    <xf numFmtId="2" fontId="67" fillId="0" borderId="10" xfId="53" applyNumberFormat="1" applyFont="1" applyBorder="1" applyAlignment="1">
      <alignment horizontal="center" vertical="top" wrapText="1"/>
      <protection/>
    </xf>
    <xf numFmtId="193" fontId="66" fillId="0" borderId="13" xfId="53" applyNumberFormat="1" applyFont="1" applyBorder="1" applyAlignment="1">
      <alignment horizontal="center" vertical="top" wrapText="1"/>
      <protection/>
    </xf>
    <xf numFmtId="192" fontId="67" fillId="0" borderId="13" xfId="53" applyNumberFormat="1" applyFont="1" applyBorder="1" applyAlignment="1">
      <alignment wrapText="1"/>
      <protection/>
    </xf>
    <xf numFmtId="192" fontId="67" fillId="0" borderId="10" xfId="53" applyNumberFormat="1" applyFont="1" applyBorder="1" applyAlignment="1">
      <alignment vertical="top" wrapText="1"/>
      <protection/>
    </xf>
    <xf numFmtId="0" fontId="66" fillId="0" borderId="10" xfId="53" applyFont="1" applyBorder="1" applyAlignment="1">
      <alignment horizontal="center" vertical="top" wrapText="1"/>
      <protection/>
    </xf>
    <xf numFmtId="49" fontId="67" fillId="0" borderId="10" xfId="53" applyNumberFormat="1" applyFont="1" applyBorder="1" applyAlignment="1">
      <alignment vertical="top" wrapText="1"/>
      <protection/>
    </xf>
    <xf numFmtId="49" fontId="66" fillId="0" borderId="10" xfId="53" applyNumberFormat="1" applyFont="1" applyBorder="1" applyAlignment="1">
      <alignment vertical="top" wrapText="1"/>
      <protection/>
    </xf>
    <xf numFmtId="49" fontId="66" fillId="0" borderId="10" xfId="53" applyNumberFormat="1" applyFont="1" applyBorder="1" applyAlignment="1">
      <alignment wrapText="1"/>
      <protection/>
    </xf>
    <xf numFmtId="192" fontId="66" fillId="0" borderId="10" xfId="53" applyNumberFormat="1" applyFont="1" applyBorder="1" applyAlignment="1">
      <alignment wrapText="1"/>
      <protection/>
    </xf>
    <xf numFmtId="2" fontId="67" fillId="0" borderId="10" xfId="53" applyNumberFormat="1" applyFont="1" applyBorder="1" applyAlignment="1">
      <alignment horizontal="center" wrapText="1"/>
      <protection/>
    </xf>
    <xf numFmtId="49" fontId="66" fillId="0" borderId="0" xfId="53" applyNumberFormat="1" applyFont="1">
      <alignment/>
      <protection/>
    </xf>
    <xf numFmtId="0" fontId="66" fillId="0" borderId="0" xfId="53" applyFont="1" applyAlignment="1">
      <alignment horizontal="left" wrapText="1"/>
      <protection/>
    </xf>
    <xf numFmtId="0" fontId="66" fillId="0" borderId="0" xfId="53" applyFont="1" applyAlignment="1">
      <alignment horizontal="left"/>
      <protection/>
    </xf>
    <xf numFmtId="0" fontId="66" fillId="0" borderId="0" xfId="53" applyFont="1" applyAlignment="1">
      <alignment horizontal="center"/>
      <protection/>
    </xf>
    <xf numFmtId="0" fontId="66" fillId="0" borderId="19" xfId="53" applyFont="1" applyBorder="1" applyAlignment="1">
      <alignment wrapText="1"/>
      <protection/>
    </xf>
    <xf numFmtId="0" fontId="66" fillId="0" borderId="16" xfId="53" applyFont="1" applyBorder="1" applyAlignment="1">
      <alignment wrapText="1"/>
      <protection/>
    </xf>
    <xf numFmtId="0" fontId="66" fillId="0" borderId="13" xfId="53" applyFont="1" applyBorder="1" applyAlignment="1">
      <alignment wrapText="1"/>
      <protection/>
    </xf>
    <xf numFmtId="3" fontId="66" fillId="0" borderId="19" xfId="53" applyNumberFormat="1" applyFont="1" applyBorder="1" applyAlignment="1">
      <alignment vertical="top" wrapText="1"/>
      <protection/>
    </xf>
    <xf numFmtId="0" fontId="13" fillId="0" borderId="0" xfId="0" applyFont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6" fillId="0" borderId="0" xfId="53" applyFont="1" applyAlignment="1">
      <alignment vertical="top"/>
      <protection/>
    </xf>
    <xf numFmtId="0" fontId="48" fillId="0" borderId="0" xfId="53" applyAlignment="1">
      <alignment vertical="top"/>
      <protection/>
    </xf>
    <xf numFmtId="0" fontId="66" fillId="0" borderId="0" xfId="53" applyFont="1" applyAlignment="1">
      <alignment horizontal="left" vertical="center" wrapText="1"/>
      <protection/>
    </xf>
    <xf numFmtId="0" fontId="66" fillId="0" borderId="0" xfId="53" applyFont="1" applyAlignment="1">
      <alignment horizontal="left" vertical="center"/>
      <protection/>
    </xf>
    <xf numFmtId="0" fontId="66" fillId="0" borderId="0" xfId="53" applyFont="1" applyAlignment="1">
      <alignment horizontal="right" vertical="center"/>
      <protection/>
    </xf>
    <xf numFmtId="0" fontId="65" fillId="0" borderId="0" xfId="53" applyFont="1" applyAlignment="1">
      <alignment vertical="center"/>
      <protection/>
    </xf>
    <xf numFmtId="0" fontId="48" fillId="0" borderId="0" xfId="53" applyFill="1">
      <alignment/>
      <protection/>
    </xf>
    <xf numFmtId="193" fontId="66" fillId="0" borderId="13" xfId="53" applyNumberFormat="1" applyFont="1" applyFill="1" applyBorder="1" applyAlignment="1">
      <alignment horizontal="center" vertical="top" wrapText="1"/>
      <protection/>
    </xf>
    <xf numFmtId="10" fontId="48" fillId="0" borderId="0" xfId="53" applyNumberFormat="1" applyFill="1" applyAlignment="1">
      <alignment vertical="top"/>
      <protection/>
    </xf>
    <xf numFmtId="4" fontId="67" fillId="0" borderId="10" xfId="53" applyNumberFormat="1" applyFont="1" applyBorder="1" applyAlignment="1">
      <alignment horizontal="center" wrapText="1"/>
      <protection/>
    </xf>
    <xf numFmtId="2" fontId="66" fillId="0" borderId="13" xfId="53" applyNumberFormat="1" applyFont="1" applyBorder="1" applyAlignment="1">
      <alignment horizontal="center" vertical="top" wrapText="1"/>
      <protection/>
    </xf>
    <xf numFmtId="4" fontId="66" fillId="0" borderId="13" xfId="53" applyNumberFormat="1" applyFont="1" applyBorder="1" applyAlignment="1">
      <alignment horizontal="center" vertical="top" wrapText="1"/>
      <protection/>
    </xf>
    <xf numFmtId="4" fontId="67" fillId="0" borderId="10" xfId="53" applyNumberFormat="1" applyFont="1" applyBorder="1" applyAlignment="1">
      <alignment horizontal="center" vertical="top" wrapText="1"/>
      <protection/>
    </xf>
    <xf numFmtId="4" fontId="66" fillId="0" borderId="13" xfId="53" applyNumberFormat="1" applyFont="1" applyBorder="1" applyAlignment="1">
      <alignment horizontal="center" vertical="top" wrapText="1"/>
      <protection/>
    </xf>
    <xf numFmtId="0" fontId="63" fillId="37" borderId="0" xfId="53" applyFont="1" applyFill="1" applyAlignment="1">
      <alignment horizontal="center" vertical="top"/>
      <protection/>
    </xf>
    <xf numFmtId="188" fontId="63" fillId="37" borderId="0" xfId="53" applyNumberFormat="1" applyFont="1" applyFill="1" applyAlignment="1">
      <alignment horizontal="center" vertical="center"/>
      <protection/>
    </xf>
    <xf numFmtId="0" fontId="66" fillId="0" borderId="13" xfId="53" applyFont="1" applyFill="1" applyBorder="1" applyAlignment="1">
      <alignment horizontal="center" vertical="top" wrapText="1"/>
      <protection/>
    </xf>
    <xf numFmtId="0" fontId="25" fillId="0" borderId="16" xfId="0" applyFont="1" applyBorder="1" applyAlignment="1">
      <alignment vertical="top" wrapText="1"/>
    </xf>
    <xf numFmtId="0" fontId="48" fillId="0" borderId="0" xfId="53" applyFill="1" applyAlignment="1">
      <alignment vertical="top"/>
      <protection/>
    </xf>
    <xf numFmtId="4" fontId="48" fillId="0" borderId="0" xfId="53" applyNumberFormat="1" applyFill="1" applyAlignment="1">
      <alignment vertical="top"/>
      <protection/>
    </xf>
    <xf numFmtId="0" fontId="65" fillId="0" borderId="0" xfId="53" applyFont="1" applyFill="1" applyAlignment="1">
      <alignment vertical="center"/>
      <protection/>
    </xf>
    <xf numFmtId="0" fontId="65" fillId="0" borderId="0" xfId="53" applyFont="1" applyFill="1" applyAlignment="1">
      <alignment vertical="top"/>
      <protection/>
    </xf>
    <xf numFmtId="0" fontId="29" fillId="0" borderId="0" xfId="0" applyFont="1" applyFill="1" applyBorder="1" applyAlignment="1">
      <alignment horizontal="right" vertical="center" wrapText="1"/>
    </xf>
    <xf numFmtId="0" fontId="20" fillId="0" borderId="20" xfId="0" applyFont="1" applyBorder="1" applyAlignment="1">
      <alignment horizontal="center" wrapText="1"/>
    </xf>
    <xf numFmtId="0" fontId="0" fillId="0" borderId="20" xfId="0" applyBorder="1" applyAlignment="1">
      <alignment wrapText="1"/>
    </xf>
    <xf numFmtId="0" fontId="5" fillId="0" borderId="17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/>
    </xf>
    <xf numFmtId="0" fontId="11" fillId="0" borderId="17" xfId="0" applyFont="1" applyBorder="1" applyAlignment="1">
      <alignment vertical="top" wrapText="1"/>
    </xf>
    <xf numFmtId="0" fontId="0" fillId="0" borderId="17" xfId="0" applyBorder="1" applyAlignment="1">
      <alignment vertical="top"/>
    </xf>
    <xf numFmtId="0" fontId="6" fillId="0" borderId="0" xfId="0" applyFont="1" applyAlignment="1">
      <alignment wrapText="1"/>
    </xf>
    <xf numFmtId="0" fontId="6" fillId="0" borderId="21" xfId="0" applyFont="1" applyBorder="1" applyAlignment="1">
      <alignment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Alignment="1">
      <alignment/>
    </xf>
    <xf numFmtId="0" fontId="11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/>
    </xf>
    <xf numFmtId="0" fontId="2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6" fillId="0" borderId="10" xfId="0" applyFont="1" applyBorder="1" applyAlignment="1">
      <alignment horizontal="center" wrapText="1"/>
    </xf>
    <xf numFmtId="0" fontId="67" fillId="0" borderId="0" xfId="53" applyFont="1" applyAlignment="1">
      <alignment horizontal="center"/>
      <protection/>
    </xf>
    <xf numFmtId="0" fontId="67" fillId="0" borderId="0" xfId="53" applyFont="1" applyAlignment="1">
      <alignment horizontal="center" vertical="center" wrapText="1"/>
      <protection/>
    </xf>
    <xf numFmtId="0" fontId="67" fillId="0" borderId="22" xfId="53" applyFont="1" applyBorder="1" applyAlignment="1">
      <alignment horizontal="center" vertical="top" wrapText="1"/>
      <protection/>
    </xf>
    <xf numFmtId="0" fontId="67" fillId="0" borderId="23" xfId="53" applyFont="1" applyBorder="1" applyAlignment="1">
      <alignment horizontal="center" vertical="top" wrapText="1"/>
      <protection/>
    </xf>
    <xf numFmtId="0" fontId="67" fillId="0" borderId="24" xfId="53" applyFont="1" applyBorder="1" applyAlignment="1">
      <alignment horizontal="center" vertical="top" wrapText="1"/>
      <protection/>
    </xf>
    <xf numFmtId="0" fontId="66" fillId="0" borderId="13" xfId="53" applyFont="1" applyBorder="1" applyAlignment="1">
      <alignment horizontal="center" vertical="top" wrapText="1"/>
      <protection/>
    </xf>
    <xf numFmtId="0" fontId="66" fillId="0" borderId="19" xfId="53" applyFont="1" applyBorder="1" applyAlignment="1">
      <alignment horizontal="center" vertical="top" wrapText="1"/>
      <protection/>
    </xf>
    <xf numFmtId="0" fontId="66" fillId="0" borderId="16" xfId="53" applyFont="1" applyBorder="1" applyAlignment="1">
      <alignment horizontal="center" vertical="top" wrapText="1"/>
      <protection/>
    </xf>
    <xf numFmtId="49" fontId="67" fillId="0" borderId="0" xfId="53" applyNumberFormat="1" applyFont="1" applyAlignment="1">
      <alignment horizontal="center" vertical="center" wrapText="1"/>
      <protection/>
    </xf>
    <xf numFmtId="49" fontId="67" fillId="0" borderId="22" xfId="53" applyNumberFormat="1" applyFont="1" applyBorder="1" applyAlignment="1">
      <alignment horizontal="left" wrapText="1"/>
      <protection/>
    </xf>
    <xf numFmtId="0" fontId="67" fillId="0" borderId="24" xfId="53" applyFont="1" applyBorder="1" applyAlignment="1">
      <alignment horizontal="left" wrapText="1"/>
      <protection/>
    </xf>
    <xf numFmtId="0" fontId="66" fillId="0" borderId="19" xfId="53" applyFont="1" applyBorder="1" applyAlignment="1">
      <alignment horizontal="center" wrapText="1"/>
      <protection/>
    </xf>
    <xf numFmtId="0" fontId="66" fillId="0" borderId="16" xfId="53" applyFont="1" applyBorder="1" applyAlignment="1">
      <alignment horizontal="center" wrapText="1"/>
      <protection/>
    </xf>
    <xf numFmtId="49" fontId="67" fillId="0" borderId="22" xfId="53" applyNumberFormat="1" applyFont="1" applyBorder="1" applyAlignment="1">
      <alignment horizontal="center" wrapText="1"/>
      <protection/>
    </xf>
    <xf numFmtId="0" fontId="67" fillId="0" borderId="23" xfId="53" applyFont="1" applyBorder="1" applyAlignment="1">
      <alignment horizontal="center" wrapText="1"/>
      <protection/>
    </xf>
    <xf numFmtId="0" fontId="67" fillId="0" borderId="24" xfId="53" applyFont="1" applyBorder="1" applyAlignment="1">
      <alignment horizontal="center" wrapText="1"/>
      <protection/>
    </xf>
    <xf numFmtId="49" fontId="67" fillId="0" borderId="22" xfId="53" applyNumberFormat="1" applyFont="1" applyBorder="1" applyAlignment="1">
      <alignment wrapText="1"/>
      <protection/>
    </xf>
    <xf numFmtId="0" fontId="67" fillId="0" borderId="24" xfId="53" applyFont="1" applyBorder="1" applyAlignment="1">
      <alignment wrapText="1"/>
      <protection/>
    </xf>
    <xf numFmtId="0" fontId="67" fillId="0" borderId="23" xfId="53" applyFont="1" applyBorder="1" applyAlignment="1">
      <alignment horizontal="left" wrapText="1"/>
      <protection/>
    </xf>
    <xf numFmtId="0" fontId="66" fillId="0" borderId="19" xfId="53" applyFont="1" applyBorder="1" applyAlignment="1">
      <alignment wrapText="1"/>
      <protection/>
    </xf>
    <xf numFmtId="0" fontId="66" fillId="0" borderId="16" xfId="53" applyFont="1" applyBorder="1" applyAlignment="1">
      <alignment wrapText="1"/>
      <protection/>
    </xf>
    <xf numFmtId="4" fontId="66" fillId="0" borderId="13" xfId="53" applyNumberFormat="1" applyFont="1" applyBorder="1" applyAlignment="1">
      <alignment horizontal="center" vertical="top" wrapText="1"/>
      <protection/>
    </xf>
    <xf numFmtId="4" fontId="66" fillId="0" borderId="19" xfId="53" applyNumberFormat="1" applyFont="1" applyBorder="1" applyAlignment="1">
      <alignment horizontal="center" vertical="top" wrapText="1"/>
      <protection/>
    </xf>
    <xf numFmtId="4" fontId="66" fillId="0" borderId="16" xfId="53" applyNumberFormat="1" applyFont="1" applyBorder="1" applyAlignment="1">
      <alignment horizontal="center" vertical="top" wrapText="1"/>
      <protection/>
    </xf>
    <xf numFmtId="2" fontId="66" fillId="0" borderId="13" xfId="53" applyNumberFormat="1" applyFont="1" applyBorder="1" applyAlignment="1">
      <alignment horizontal="center" vertical="top" wrapText="1"/>
      <protection/>
    </xf>
    <xf numFmtId="2" fontId="66" fillId="0" borderId="19" xfId="53" applyNumberFormat="1" applyFont="1" applyBorder="1" applyAlignment="1">
      <alignment horizontal="center" vertical="top" wrapText="1"/>
      <protection/>
    </xf>
    <xf numFmtId="2" fontId="66" fillId="0" borderId="16" xfId="53" applyNumberFormat="1" applyFont="1" applyBorder="1" applyAlignment="1">
      <alignment horizontal="center" vertical="top" wrapText="1"/>
      <protection/>
    </xf>
    <xf numFmtId="0" fontId="68" fillId="0" borderId="0" xfId="53" applyFont="1" applyAlignment="1">
      <alignment horizontal="left" vertical="top" wrapText="1"/>
      <protection/>
    </xf>
    <xf numFmtId="0" fontId="68" fillId="0" borderId="0" xfId="53" applyFont="1" applyAlignment="1">
      <alignment horizontal="left" vertical="top"/>
      <protection/>
    </xf>
    <xf numFmtId="0" fontId="68" fillId="0" borderId="0" xfId="53" applyFont="1" applyAlignment="1">
      <alignment horizontal="lef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7"/>
  <sheetViews>
    <sheetView view="pageBreakPreview" zoomScale="85" zoomScaleNormal="70" zoomScaleSheetLayoutView="85" zoomScalePageLayoutView="0" workbookViewId="0" topLeftCell="A1">
      <selection activeCell="A1" sqref="A1:B1"/>
    </sheetView>
  </sheetViews>
  <sheetFormatPr defaultColWidth="9.00390625" defaultRowHeight="12.75" outlineLevelCol="1"/>
  <cols>
    <col min="1" max="1" width="28.625" style="1" customWidth="1"/>
    <col min="2" max="2" width="18.875" style="1" customWidth="1"/>
    <col min="3" max="3" width="18.50390625" style="1" hidden="1" customWidth="1" outlineLevel="1"/>
    <col min="4" max="4" width="16.50390625" style="1" hidden="1" customWidth="1" outlineLevel="1"/>
    <col min="5" max="5" width="27.875" style="1" customWidth="1" collapsed="1"/>
    <col min="6" max="8" width="17.875" style="1" customWidth="1"/>
    <col min="9" max="10" width="0" style="1" hidden="1" customWidth="1" outlineLevel="1"/>
    <col min="11" max="11" width="25.875" style="1" hidden="1" customWidth="1" outlineLevel="1"/>
    <col min="12" max="12" width="20.375" style="1" hidden="1" customWidth="1" outlineLevel="1"/>
    <col min="13" max="13" width="28.00390625" style="1" hidden="1" customWidth="1" outlineLevel="1"/>
    <col min="14" max="16" width="0" style="1" hidden="1" customWidth="1" outlineLevel="1"/>
    <col min="17" max="17" width="0" style="0" hidden="1" customWidth="1" outlineLevel="1"/>
    <col min="18" max="18" width="9.125" style="0" customWidth="1" collapsed="1"/>
    <col min="21" max="21" width="9.50390625" style="0" bestFit="1" customWidth="1"/>
  </cols>
  <sheetData>
    <row r="1" spans="1:15" ht="50.25" customHeight="1" thickBot="1">
      <c r="A1" s="177" t="s">
        <v>265</v>
      </c>
      <c r="B1" s="178"/>
      <c r="C1" s="95"/>
      <c r="D1" s="95"/>
      <c r="E1" s="95"/>
      <c r="F1" s="94" t="s">
        <v>111</v>
      </c>
      <c r="G1" s="94"/>
      <c r="H1" s="94"/>
      <c r="J1" s="17" t="s">
        <v>55</v>
      </c>
      <c r="K1" s="17"/>
      <c r="L1" s="17"/>
      <c r="M1" s="17"/>
      <c r="N1" s="18">
        <v>6048</v>
      </c>
      <c r="O1" t="s">
        <v>56</v>
      </c>
    </row>
    <row r="2" spans="1:15" ht="15.75" thickBot="1">
      <c r="A2" s="1" t="s">
        <v>51</v>
      </c>
      <c r="B2" s="1">
        <f>9</f>
        <v>9</v>
      </c>
      <c r="F2" s="25" t="s">
        <v>112</v>
      </c>
      <c r="G2" s="25"/>
      <c r="H2" s="93">
        <f>H25+H39+H52+H65+H74+H88+H101+H119+H129+H145+H155+H190+H199+H208+H215+H218+H225+H246+H250+H228+H104+H254</f>
        <v>24.386511412971682</v>
      </c>
      <c r="J2" t="s">
        <v>57</v>
      </c>
      <c r="K2"/>
      <c r="L2"/>
      <c r="M2"/>
      <c r="N2">
        <v>164.2</v>
      </c>
      <c r="O2" t="s">
        <v>58</v>
      </c>
    </row>
    <row r="3" spans="1:15" ht="13.5" thickBot="1">
      <c r="A3" s="1" t="s">
        <v>52</v>
      </c>
      <c r="B3" s="1">
        <v>4</v>
      </c>
      <c r="J3"/>
      <c r="K3" s="165" t="s">
        <v>59</v>
      </c>
      <c r="L3" s="166"/>
      <c r="M3" s="166"/>
      <c r="N3"/>
      <c r="O3"/>
    </row>
    <row r="4" spans="1:15" ht="27" thickBot="1">
      <c r="A4" s="1" t="s">
        <v>215</v>
      </c>
      <c r="B4" s="1">
        <v>10992</v>
      </c>
      <c r="J4"/>
      <c r="K4" s="19" t="s">
        <v>4</v>
      </c>
      <c r="L4" s="19" t="s">
        <v>60</v>
      </c>
      <c r="M4" s="19" t="s">
        <v>61</v>
      </c>
      <c r="N4"/>
      <c r="O4"/>
    </row>
    <row r="5" spans="1:15" ht="13.5" thickBot="1">
      <c r="A5" s="1" t="s">
        <v>216</v>
      </c>
      <c r="B5" s="1">
        <v>7676</v>
      </c>
      <c r="J5"/>
      <c r="K5" s="20">
        <v>1</v>
      </c>
      <c r="L5" s="20">
        <v>1</v>
      </c>
      <c r="M5" s="21">
        <f>SUM(N1/N2)</f>
        <v>36.833130328867234</v>
      </c>
      <c r="N5"/>
      <c r="O5"/>
    </row>
    <row r="6" spans="1:15" ht="27" thickBot="1">
      <c r="A6" s="6" t="s">
        <v>217</v>
      </c>
      <c r="B6" s="1">
        <f>B5*0.2</f>
        <v>1535.2</v>
      </c>
      <c r="J6"/>
      <c r="K6" s="20">
        <v>2</v>
      </c>
      <c r="L6" s="20">
        <v>1.3</v>
      </c>
      <c r="M6" s="21">
        <f>SUM(M5*L6)</f>
        <v>47.88306942752741</v>
      </c>
      <c r="N6"/>
      <c r="O6"/>
    </row>
    <row r="7" spans="1:19" ht="27" thickBot="1">
      <c r="A7" s="6" t="s">
        <v>218</v>
      </c>
      <c r="B7" s="1">
        <v>4877</v>
      </c>
      <c r="J7"/>
      <c r="K7" s="20">
        <v>3</v>
      </c>
      <c r="L7" s="20">
        <v>1.69</v>
      </c>
      <c r="M7" s="21">
        <f>SUM(M5*L7)</f>
        <v>62.24799025578562</v>
      </c>
      <c r="N7"/>
      <c r="O7"/>
      <c r="S7">
        <v>24.39</v>
      </c>
    </row>
    <row r="8" spans="1:19" s="16" customFormat="1" ht="13.5" thickBot="1">
      <c r="A8" s="15" t="s">
        <v>219</v>
      </c>
      <c r="B8" s="15">
        <f>B7*0.55</f>
        <v>2682.3500000000004</v>
      </c>
      <c r="C8" s="15"/>
      <c r="D8" s="15"/>
      <c r="E8" s="15"/>
      <c r="F8" s="15"/>
      <c r="G8" s="15"/>
      <c r="H8" s="15"/>
      <c r="I8" s="15"/>
      <c r="J8"/>
      <c r="K8" s="20">
        <v>4</v>
      </c>
      <c r="L8" s="20">
        <v>1.91</v>
      </c>
      <c r="M8" s="21">
        <f>SUM(M5*L8)</f>
        <v>70.35127892813641</v>
      </c>
      <c r="N8"/>
      <c r="O8"/>
      <c r="P8" s="15"/>
      <c r="S8" s="67">
        <f>S7-H2</f>
        <v>0.003488587028318335</v>
      </c>
    </row>
    <row r="9" spans="1:16" s="16" customFormat="1" ht="13.5" thickBot="1">
      <c r="A9" s="15" t="s">
        <v>220</v>
      </c>
      <c r="B9" s="15">
        <f>B7-B8</f>
        <v>2194.6499999999996</v>
      </c>
      <c r="C9" s="15"/>
      <c r="D9" s="15"/>
      <c r="E9" s="15"/>
      <c r="F9" s="15"/>
      <c r="G9" s="15"/>
      <c r="H9" s="15"/>
      <c r="I9" s="15"/>
      <c r="J9"/>
      <c r="K9" s="20">
        <v>5</v>
      </c>
      <c r="L9" s="20">
        <v>2.16</v>
      </c>
      <c r="M9" s="21">
        <f>SUM(M5*L9)</f>
        <v>79.55956151035323</v>
      </c>
      <c r="N9"/>
      <c r="O9"/>
      <c r="P9" s="15"/>
    </row>
    <row r="10" spans="1:15" ht="13.5" thickBot="1">
      <c r="A10" s="1" t="s">
        <v>221</v>
      </c>
      <c r="B10" s="1">
        <f>B4/8</f>
        <v>1374</v>
      </c>
      <c r="J10"/>
      <c r="K10" s="20">
        <v>6</v>
      </c>
      <c r="L10" s="20">
        <v>2.44</v>
      </c>
      <c r="M10" s="21">
        <f>SUM(M5*L10)</f>
        <v>89.87283800243605</v>
      </c>
      <c r="N10"/>
      <c r="O10"/>
    </row>
    <row r="11" spans="1:13" ht="13.5" thickBot="1">
      <c r="A11" s="173" t="s">
        <v>239</v>
      </c>
      <c r="B11" s="174"/>
      <c r="C11" s="174"/>
      <c r="D11" s="174"/>
      <c r="E11" s="174"/>
      <c r="F11" s="174"/>
      <c r="G11" s="174"/>
      <c r="H11" s="174"/>
      <c r="K11" s="20">
        <v>7</v>
      </c>
      <c r="L11" s="20">
        <v>2.76</v>
      </c>
      <c r="M11" s="21">
        <f>SUM(M5*L11)</f>
        <v>101.65943970767356</v>
      </c>
    </row>
    <row r="12" spans="1:13" ht="13.5" thickBot="1">
      <c r="A12" s="7"/>
      <c r="B12" s="8"/>
      <c r="C12" s="8"/>
      <c r="D12" s="8"/>
      <c r="E12" s="8"/>
      <c r="F12" s="8"/>
      <c r="G12" s="8"/>
      <c r="H12" s="8"/>
      <c r="K12" s="20">
        <v>8</v>
      </c>
      <c r="L12" s="20">
        <v>3.12</v>
      </c>
      <c r="M12" s="21">
        <f>SUM(M5*L12)</f>
        <v>114.91936662606578</v>
      </c>
    </row>
    <row r="13" spans="1:15" ht="47.25" customHeight="1" thickBot="1">
      <c r="A13" s="167" t="s">
        <v>236</v>
      </c>
      <c r="B13" s="168"/>
      <c r="C13" s="169" t="s">
        <v>2</v>
      </c>
      <c r="D13" s="170"/>
      <c r="E13" s="170"/>
      <c r="F13" s="170"/>
      <c r="G13" s="170"/>
      <c r="H13" s="170"/>
      <c r="J13"/>
      <c r="K13" s="20">
        <v>9</v>
      </c>
      <c r="L13" s="20">
        <v>3.53</v>
      </c>
      <c r="M13" s="21">
        <f>SUM(M5*L13)</f>
        <v>130.02095006090133</v>
      </c>
      <c r="N13"/>
      <c r="O13"/>
    </row>
    <row r="14" spans="1:15" ht="90.75" customHeight="1" thickBot="1">
      <c r="A14" s="13" t="s">
        <v>3</v>
      </c>
      <c r="B14" s="13" t="s">
        <v>4</v>
      </c>
      <c r="C14" s="13" t="s">
        <v>0</v>
      </c>
      <c r="D14" s="13" t="s">
        <v>1</v>
      </c>
      <c r="E14" s="13" t="s">
        <v>5</v>
      </c>
      <c r="F14" s="14" t="s">
        <v>46</v>
      </c>
      <c r="G14" s="14" t="s">
        <v>225</v>
      </c>
      <c r="H14" s="14" t="s">
        <v>49</v>
      </c>
      <c r="J14"/>
      <c r="K14" s="20">
        <v>10</v>
      </c>
      <c r="L14" s="20">
        <v>3.99</v>
      </c>
      <c r="M14" s="21">
        <f>SUM(M5*L14)</f>
        <v>146.96419001218027</v>
      </c>
      <c r="N14"/>
      <c r="O14"/>
    </row>
    <row r="15" spans="1:15" ht="27" thickBot="1">
      <c r="A15" s="3" t="s">
        <v>53</v>
      </c>
      <c r="B15" s="59">
        <v>2</v>
      </c>
      <c r="C15" s="2">
        <f>B6</f>
        <v>1535.2</v>
      </c>
      <c r="D15" s="26">
        <v>1171</v>
      </c>
      <c r="E15" s="64">
        <f>C15*D15/1000</f>
        <v>1797.7192</v>
      </c>
      <c r="F15" s="64">
        <f>M6</f>
        <v>47.88306942752741</v>
      </c>
      <c r="G15" s="54">
        <f>E15*F15*1.42*1.15*1.302</f>
        <v>183021.03533296468</v>
      </c>
      <c r="H15" s="11"/>
      <c r="J15"/>
      <c r="K15" s="20">
        <v>11</v>
      </c>
      <c r="L15" s="20">
        <v>4.51</v>
      </c>
      <c r="M15" s="21">
        <f>SUM(M5*L15)</f>
        <v>166.11741778319123</v>
      </c>
      <c r="N15"/>
      <c r="O15"/>
    </row>
    <row r="16" spans="1:15" ht="13.5" thickBot="1">
      <c r="A16" s="9" t="s">
        <v>11</v>
      </c>
      <c r="B16" s="10" t="s">
        <v>42</v>
      </c>
      <c r="C16" s="10" t="s">
        <v>0</v>
      </c>
      <c r="D16" s="10" t="s">
        <v>1</v>
      </c>
      <c r="E16" s="65" t="s">
        <v>43</v>
      </c>
      <c r="F16" s="65" t="s">
        <v>47</v>
      </c>
      <c r="G16" s="66" t="s">
        <v>145</v>
      </c>
      <c r="H16" s="12"/>
      <c r="J16"/>
      <c r="K16" s="20">
        <v>12</v>
      </c>
      <c r="L16" s="20">
        <v>5.1</v>
      </c>
      <c r="M16" s="21">
        <f>SUM(M5*L16)</f>
        <v>187.84896467722288</v>
      </c>
      <c r="N16"/>
      <c r="O16"/>
    </row>
    <row r="17" spans="1:15" ht="13.5" thickBot="1">
      <c r="A17" s="4" t="s">
        <v>6</v>
      </c>
      <c r="B17" s="26" t="s">
        <v>62</v>
      </c>
      <c r="C17" s="2">
        <f>B6</f>
        <v>1535.2</v>
      </c>
      <c r="D17" s="5">
        <v>0.85</v>
      </c>
      <c r="E17" s="64">
        <f aca="true" t="shared" si="0" ref="E17:E23">C17*D17/1000</f>
        <v>1.30492</v>
      </c>
      <c r="F17" s="64">
        <v>145</v>
      </c>
      <c r="G17" s="54">
        <f aca="true" t="shared" si="1" ref="G17:G23">E17*F17</f>
        <v>189.2134</v>
      </c>
      <c r="H17" s="2"/>
      <c r="J17"/>
      <c r="K17" s="20">
        <v>13</v>
      </c>
      <c r="L17" s="20">
        <v>5.76</v>
      </c>
      <c r="M17" s="21">
        <f>SUM(M5*L17)</f>
        <v>212.15883069427525</v>
      </c>
      <c r="N17"/>
      <c r="O17"/>
    </row>
    <row r="18" spans="1:15" ht="13.5" thickBot="1">
      <c r="A18" s="4" t="s">
        <v>7</v>
      </c>
      <c r="B18" s="26" t="s">
        <v>62</v>
      </c>
      <c r="C18" s="2">
        <f>B6</f>
        <v>1535.2</v>
      </c>
      <c r="D18" s="5">
        <v>10.15</v>
      </c>
      <c r="E18" s="64">
        <f t="shared" si="0"/>
        <v>15.58228</v>
      </c>
      <c r="F18" s="64">
        <v>84</v>
      </c>
      <c r="G18" s="54">
        <f t="shared" si="1"/>
        <v>1308.91152</v>
      </c>
      <c r="H18" s="2"/>
      <c r="J18"/>
      <c r="K18" s="20">
        <v>14</v>
      </c>
      <c r="L18" s="20">
        <v>6.51</v>
      </c>
      <c r="M18" s="21">
        <f>SUM(M5*L18)</f>
        <v>239.78367844092568</v>
      </c>
      <c r="N18"/>
      <c r="O18"/>
    </row>
    <row r="19" spans="1:15" ht="13.5" thickBot="1">
      <c r="A19" s="4" t="s">
        <v>206</v>
      </c>
      <c r="B19" s="26" t="s">
        <v>62</v>
      </c>
      <c r="C19" s="2">
        <f>B6</f>
        <v>1535.2</v>
      </c>
      <c r="D19" s="5">
        <v>0.42</v>
      </c>
      <c r="E19" s="64">
        <f t="shared" si="0"/>
        <v>0.644784</v>
      </c>
      <c r="F19" s="64">
        <v>64</v>
      </c>
      <c r="G19" s="54">
        <f t="shared" si="1"/>
        <v>41.266176</v>
      </c>
      <c r="H19" s="2"/>
      <c r="J19"/>
      <c r="K19" s="20">
        <v>15</v>
      </c>
      <c r="L19" s="20">
        <v>7.36</v>
      </c>
      <c r="M19" s="21">
        <f>SUM(M5*L19)</f>
        <v>271.0918392204629</v>
      </c>
      <c r="N19"/>
      <c r="O19"/>
    </row>
    <row r="20" spans="1:15" ht="13.5" thickBot="1">
      <c r="A20" s="4" t="s">
        <v>9</v>
      </c>
      <c r="B20" s="26" t="s">
        <v>62</v>
      </c>
      <c r="C20" s="2">
        <f>B6</f>
        <v>1535.2</v>
      </c>
      <c r="D20" s="5">
        <v>0.85</v>
      </c>
      <c r="E20" s="64">
        <f t="shared" si="0"/>
        <v>1.30492</v>
      </c>
      <c r="F20" s="64">
        <v>83.5</v>
      </c>
      <c r="G20" s="54">
        <f t="shared" si="1"/>
        <v>108.96082000000001</v>
      </c>
      <c r="H20" s="2"/>
      <c r="J20"/>
      <c r="K20" s="20">
        <v>16</v>
      </c>
      <c r="L20" s="20">
        <v>8.17</v>
      </c>
      <c r="M20" s="21">
        <f>SUM(M5*L20)</f>
        <v>300.9266747868453</v>
      </c>
      <c r="N20"/>
      <c r="O20"/>
    </row>
    <row r="21" spans="1:15" ht="13.5" thickBot="1">
      <c r="A21" s="4" t="s">
        <v>207</v>
      </c>
      <c r="B21" s="26" t="s">
        <v>36</v>
      </c>
      <c r="C21" s="2">
        <f>C17</f>
        <v>1535.2</v>
      </c>
      <c r="D21" s="5">
        <v>0.93</v>
      </c>
      <c r="E21" s="64">
        <f t="shared" si="0"/>
        <v>1.4277360000000001</v>
      </c>
      <c r="F21" s="64">
        <v>45</v>
      </c>
      <c r="G21" s="54">
        <f t="shared" si="1"/>
        <v>64.24812</v>
      </c>
      <c r="H21" s="2"/>
      <c r="J21"/>
      <c r="K21" s="20"/>
      <c r="L21" s="20"/>
      <c r="M21" s="21"/>
      <c r="N21"/>
      <c r="O21"/>
    </row>
    <row r="22" spans="1:15" ht="13.5" thickBot="1">
      <c r="A22" s="4" t="s">
        <v>50</v>
      </c>
      <c r="B22" s="26" t="s">
        <v>36</v>
      </c>
      <c r="C22" s="2">
        <f>C17</f>
        <v>1535.2</v>
      </c>
      <c r="D22" s="5">
        <v>0.82</v>
      </c>
      <c r="E22" s="64">
        <f t="shared" si="0"/>
        <v>1.258864</v>
      </c>
      <c r="F22" s="64">
        <v>25.5</v>
      </c>
      <c r="G22" s="54">
        <f t="shared" si="1"/>
        <v>32.101032</v>
      </c>
      <c r="H22" s="2"/>
      <c r="J22"/>
      <c r="K22" s="20"/>
      <c r="L22" s="20"/>
      <c r="M22" s="21"/>
      <c r="N22"/>
      <c r="O22"/>
    </row>
    <row r="23" spans="1:15" ht="13.5" thickBot="1">
      <c r="A23" s="4" t="s">
        <v>10</v>
      </c>
      <c r="B23" s="26" t="s">
        <v>62</v>
      </c>
      <c r="C23" s="2">
        <f>B6</f>
        <v>1535.2</v>
      </c>
      <c r="D23" s="5">
        <v>0.85</v>
      </c>
      <c r="E23" s="64">
        <f t="shared" si="0"/>
        <v>1.30492</v>
      </c>
      <c r="F23" s="64">
        <f>28.06*3.5</f>
        <v>98.21</v>
      </c>
      <c r="G23" s="54">
        <f t="shared" si="1"/>
        <v>128.1561932</v>
      </c>
      <c r="H23" s="2"/>
      <c r="J23"/>
      <c r="K23" s="20">
        <v>18</v>
      </c>
      <c r="L23" s="20">
        <v>10.07</v>
      </c>
      <c r="M23" s="21">
        <f>SUM(M5*L23)</f>
        <v>370.9096224116931</v>
      </c>
      <c r="N23"/>
      <c r="O23"/>
    </row>
    <row r="24" spans="1:15" ht="12.75">
      <c r="A24" s="4" t="s">
        <v>209</v>
      </c>
      <c r="B24" s="26"/>
      <c r="C24" s="2"/>
      <c r="D24" s="5"/>
      <c r="E24" s="64"/>
      <c r="F24" s="64"/>
      <c r="G24" s="54">
        <f>E15*спецодежда!G24</f>
        <v>2761.9600222083654</v>
      </c>
      <c r="H24" s="2"/>
      <c r="J24"/>
      <c r="K24" s="69"/>
      <c r="L24" s="69"/>
      <c r="M24" s="70"/>
      <c r="N24"/>
      <c r="O24"/>
    </row>
    <row r="25" spans="1:15" ht="15">
      <c r="A25" s="9" t="s">
        <v>48</v>
      </c>
      <c r="B25" s="10"/>
      <c r="C25" s="10"/>
      <c r="D25" s="10"/>
      <c r="E25" s="10"/>
      <c r="F25" s="10"/>
      <c r="G25" s="66">
        <f>G15+G17+G18+G19+G20+G23+G21+G22+G24</f>
        <v>187655.85261637307</v>
      </c>
      <c r="H25" s="41">
        <f>G25/12/B5</f>
        <v>2.03725738900874</v>
      </c>
      <c r="J25"/>
      <c r="N25"/>
      <c r="O25"/>
    </row>
    <row r="26" spans="10:15" ht="12.75">
      <c r="J26"/>
      <c r="N26"/>
      <c r="O26"/>
    </row>
    <row r="27" spans="1:8" ht="36.75" customHeight="1">
      <c r="A27" s="167" t="s">
        <v>237</v>
      </c>
      <c r="B27" s="167"/>
      <c r="C27" s="169" t="s">
        <v>12</v>
      </c>
      <c r="D27" s="169"/>
      <c r="E27" s="169"/>
      <c r="F27" s="169"/>
      <c r="G27" s="169"/>
      <c r="H27" s="169"/>
    </row>
    <row r="28" spans="1:8" ht="94.5" customHeight="1" thickBot="1">
      <c r="A28" s="13" t="s">
        <v>3</v>
      </c>
      <c r="B28" s="13" t="s">
        <v>4</v>
      </c>
      <c r="C28" s="13" t="s">
        <v>0</v>
      </c>
      <c r="D28" s="13" t="s">
        <v>1</v>
      </c>
      <c r="E28" s="13" t="s">
        <v>5</v>
      </c>
      <c r="F28" s="14" t="s">
        <v>46</v>
      </c>
      <c r="G28" s="14" t="s">
        <v>225</v>
      </c>
      <c r="H28" s="14" t="s">
        <v>49</v>
      </c>
    </row>
    <row r="29" spans="1:15" ht="27" thickBot="1">
      <c r="A29" s="3" t="s">
        <v>54</v>
      </c>
      <c r="B29" s="59">
        <v>2</v>
      </c>
      <c r="C29" s="2">
        <f>$B$5</f>
        <v>7676</v>
      </c>
      <c r="D29" s="26">
        <v>5.08</v>
      </c>
      <c r="E29" s="64">
        <f>C29*D29/1000</f>
        <v>38.994080000000004</v>
      </c>
      <c r="F29" s="64">
        <f>M6</f>
        <v>47.88306942752741</v>
      </c>
      <c r="G29" s="54">
        <f>E29*F29*1.42*1.15*1.302</f>
        <v>3969.884113968662</v>
      </c>
      <c r="H29" s="11"/>
      <c r="J29"/>
      <c r="K29" s="20"/>
      <c r="L29" s="20"/>
      <c r="M29" s="21"/>
      <c r="N29"/>
      <c r="O29"/>
    </row>
    <row r="30" spans="1:8" ht="13.5" thickBot="1">
      <c r="A30" s="9" t="s">
        <v>11</v>
      </c>
      <c r="B30" s="10" t="s">
        <v>42</v>
      </c>
      <c r="C30" s="10" t="s">
        <v>0</v>
      </c>
      <c r="D30" s="10" t="s">
        <v>1</v>
      </c>
      <c r="E30" s="10" t="s">
        <v>43</v>
      </c>
      <c r="F30" s="10" t="s">
        <v>47</v>
      </c>
      <c r="G30" s="12" t="s">
        <v>145</v>
      </c>
      <c r="H30" s="12"/>
    </row>
    <row r="31" spans="1:15" ht="13.5" thickBot="1">
      <c r="A31" s="4" t="s">
        <v>6</v>
      </c>
      <c r="B31" s="26" t="s">
        <v>62</v>
      </c>
      <c r="C31" s="2">
        <f aca="true" t="shared" si="2" ref="C31:C37">$B$5</f>
        <v>7676</v>
      </c>
      <c r="D31" s="5">
        <v>0.003</v>
      </c>
      <c r="E31" s="64">
        <f aca="true" t="shared" si="3" ref="E31:E37">C31*D31/1000</f>
        <v>0.023028000000000003</v>
      </c>
      <c r="F31" s="64">
        <f>F17</f>
        <v>145</v>
      </c>
      <c r="G31" s="54">
        <f>E31*F31</f>
        <v>3.3390600000000004</v>
      </c>
      <c r="H31" s="2"/>
      <c r="J31"/>
      <c r="K31" s="20"/>
      <c r="L31" s="20"/>
      <c r="M31" s="21"/>
      <c r="N31"/>
      <c r="O31"/>
    </row>
    <row r="32" spans="1:15" ht="13.5" thickBot="1">
      <c r="A32" s="4" t="s">
        <v>7</v>
      </c>
      <c r="B32" s="26" t="s">
        <v>62</v>
      </c>
      <c r="C32" s="2">
        <f t="shared" si="2"/>
        <v>7676</v>
      </c>
      <c r="D32" s="5">
        <v>0.031</v>
      </c>
      <c r="E32" s="64">
        <f t="shared" si="3"/>
        <v>0.237956</v>
      </c>
      <c r="F32" s="64">
        <f>F18</f>
        <v>84</v>
      </c>
      <c r="G32" s="54">
        <f aca="true" t="shared" si="4" ref="G32:G37">E32*F32</f>
        <v>19.988304</v>
      </c>
      <c r="H32" s="2"/>
      <c r="J32"/>
      <c r="K32" s="20"/>
      <c r="L32" s="20"/>
      <c r="M32" s="21"/>
      <c r="N32"/>
      <c r="O32"/>
    </row>
    <row r="33" spans="1:15" ht="13.5" thickBot="1">
      <c r="A33" s="4" t="s">
        <v>8</v>
      </c>
      <c r="B33" s="26" t="s">
        <v>62</v>
      </c>
      <c r="C33" s="2">
        <f t="shared" si="2"/>
        <v>7676</v>
      </c>
      <c r="D33" s="5">
        <v>0.001</v>
      </c>
      <c r="E33" s="64">
        <f t="shared" si="3"/>
        <v>0.0076760000000000005</v>
      </c>
      <c r="F33" s="64">
        <f>F19</f>
        <v>64</v>
      </c>
      <c r="G33" s="54">
        <f t="shared" si="4"/>
        <v>0.49126400000000003</v>
      </c>
      <c r="H33" s="2"/>
      <c r="J33"/>
      <c r="K33" s="20"/>
      <c r="L33" s="20"/>
      <c r="M33" s="21"/>
      <c r="N33"/>
      <c r="O33"/>
    </row>
    <row r="34" spans="1:15" ht="13.5" thickBot="1">
      <c r="A34" s="4" t="s">
        <v>9</v>
      </c>
      <c r="B34" s="26" t="s">
        <v>62</v>
      </c>
      <c r="C34" s="2">
        <f t="shared" si="2"/>
        <v>7676</v>
      </c>
      <c r="D34" s="5">
        <v>0.003</v>
      </c>
      <c r="E34" s="64">
        <f t="shared" si="3"/>
        <v>0.023028000000000003</v>
      </c>
      <c r="F34" s="64">
        <f>F20</f>
        <v>83.5</v>
      </c>
      <c r="G34" s="54">
        <f t="shared" si="4"/>
        <v>1.9228380000000003</v>
      </c>
      <c r="H34" s="2"/>
      <c r="J34"/>
      <c r="K34" s="20"/>
      <c r="L34" s="20"/>
      <c r="M34" s="21"/>
      <c r="N34"/>
      <c r="O34"/>
    </row>
    <row r="35" spans="1:15" ht="13.5" thickBot="1">
      <c r="A35" s="4" t="s">
        <v>10</v>
      </c>
      <c r="B35" s="26" t="s">
        <v>62</v>
      </c>
      <c r="C35" s="2">
        <f t="shared" si="2"/>
        <v>7676</v>
      </c>
      <c r="D35" s="5">
        <v>0.003</v>
      </c>
      <c r="E35" s="64">
        <f t="shared" si="3"/>
        <v>0.023028000000000003</v>
      </c>
      <c r="F35" s="64">
        <f>F23</f>
        <v>98.21</v>
      </c>
      <c r="G35" s="54">
        <f t="shared" si="4"/>
        <v>2.26157988</v>
      </c>
      <c r="H35" s="2"/>
      <c r="J35"/>
      <c r="K35" s="20"/>
      <c r="L35" s="20"/>
      <c r="M35" s="21"/>
      <c r="N35"/>
      <c r="O35"/>
    </row>
    <row r="36" spans="1:15" ht="13.5" thickBot="1">
      <c r="A36" s="4" t="s">
        <v>207</v>
      </c>
      <c r="B36" s="26" t="s">
        <v>36</v>
      </c>
      <c r="C36" s="2">
        <f t="shared" si="2"/>
        <v>7676</v>
      </c>
      <c r="D36" s="5">
        <v>0.55</v>
      </c>
      <c r="E36" s="64">
        <f t="shared" si="3"/>
        <v>4.2218</v>
      </c>
      <c r="F36" s="64">
        <f>F21</f>
        <v>45</v>
      </c>
      <c r="G36" s="54">
        <f t="shared" si="4"/>
        <v>189.981</v>
      </c>
      <c r="H36" s="2"/>
      <c r="J36"/>
      <c r="K36" s="20"/>
      <c r="L36" s="20"/>
      <c r="M36" s="21"/>
      <c r="N36"/>
      <c r="O36"/>
    </row>
    <row r="37" spans="1:15" ht="13.5" thickBot="1">
      <c r="A37" s="4" t="s">
        <v>50</v>
      </c>
      <c r="B37" s="26" t="s">
        <v>36</v>
      </c>
      <c r="C37" s="2">
        <f t="shared" si="2"/>
        <v>7676</v>
      </c>
      <c r="D37" s="5">
        <v>0.46</v>
      </c>
      <c r="E37" s="64">
        <f t="shared" si="3"/>
        <v>3.53096</v>
      </c>
      <c r="F37" s="64">
        <f>F22</f>
        <v>25.5</v>
      </c>
      <c r="G37" s="54">
        <f t="shared" si="4"/>
        <v>90.03948</v>
      </c>
      <c r="H37" s="2"/>
      <c r="J37"/>
      <c r="K37" s="20"/>
      <c r="L37" s="20"/>
      <c r="M37" s="21"/>
      <c r="N37"/>
      <c r="O37"/>
    </row>
    <row r="38" spans="1:15" ht="12.75">
      <c r="A38" s="4" t="s">
        <v>209</v>
      </c>
      <c r="B38" s="26"/>
      <c r="C38" s="2"/>
      <c r="D38" s="5"/>
      <c r="E38" s="64"/>
      <c r="F38" s="64"/>
      <c r="G38" s="54">
        <f>E29*спецодежда!G24</f>
        <v>59.90929510170153</v>
      </c>
      <c r="H38" s="2"/>
      <c r="J38"/>
      <c r="K38" s="69"/>
      <c r="L38" s="69"/>
      <c r="M38" s="70"/>
      <c r="N38"/>
      <c r="O38"/>
    </row>
    <row r="39" spans="1:15" ht="15">
      <c r="A39" s="9" t="s">
        <v>48</v>
      </c>
      <c r="B39" s="10"/>
      <c r="C39" s="10"/>
      <c r="D39" s="10"/>
      <c r="E39" s="10"/>
      <c r="F39" s="10"/>
      <c r="G39" s="66">
        <f>G31+G33+G34+G35+G36+G37+G29+G32+G38</f>
        <v>4337.816934950364</v>
      </c>
      <c r="H39" s="41">
        <f>G39/12/B5</f>
        <v>0.04709285364502306</v>
      </c>
      <c r="J39"/>
      <c r="N39"/>
      <c r="O39"/>
    </row>
    <row r="41" spans="1:8" ht="28.5" customHeight="1">
      <c r="A41" s="167" t="s">
        <v>238</v>
      </c>
      <c r="B41" s="168"/>
      <c r="C41" s="169" t="s">
        <v>231</v>
      </c>
      <c r="D41" s="170"/>
      <c r="E41" s="170"/>
      <c r="F41" s="170"/>
      <c r="G41" s="170"/>
      <c r="H41" s="170"/>
    </row>
    <row r="42" spans="1:8" ht="91.5" customHeight="1" thickBot="1">
      <c r="A42" s="13" t="s">
        <v>3</v>
      </c>
      <c r="B42" s="13" t="s">
        <v>4</v>
      </c>
      <c r="C42" s="13" t="s">
        <v>0</v>
      </c>
      <c r="D42" s="13" t="s">
        <v>1</v>
      </c>
      <c r="E42" s="13" t="s">
        <v>5</v>
      </c>
      <c r="F42" s="14" t="s">
        <v>46</v>
      </c>
      <c r="G42" s="14" t="s">
        <v>225</v>
      </c>
      <c r="H42" s="14" t="s">
        <v>49</v>
      </c>
    </row>
    <row r="43" spans="1:15" ht="13.5" thickBot="1">
      <c r="A43" s="3" t="s">
        <v>14</v>
      </c>
      <c r="B43" s="59">
        <v>1</v>
      </c>
      <c r="C43" s="2">
        <f>$B$8</f>
        <v>2682.3500000000004</v>
      </c>
      <c r="D43" s="26">
        <v>137.5</v>
      </c>
      <c r="E43" s="64">
        <f>C43*D43/1000</f>
        <v>368.82312500000006</v>
      </c>
      <c r="F43" s="64">
        <f>M5</f>
        <v>36.833130328867234</v>
      </c>
      <c r="G43" s="54">
        <f>E43*F43*1.42*1.15*1.302</f>
        <v>28883.774247108166</v>
      </c>
      <c r="H43" s="11"/>
      <c r="J43"/>
      <c r="K43" s="20"/>
      <c r="L43" s="20"/>
      <c r="M43" s="21"/>
      <c r="N43"/>
      <c r="O43"/>
    </row>
    <row r="44" spans="1:8" ht="13.5" thickBot="1">
      <c r="A44" s="9" t="s">
        <v>11</v>
      </c>
      <c r="B44" s="10" t="s">
        <v>42</v>
      </c>
      <c r="C44" s="10" t="s">
        <v>0</v>
      </c>
      <c r="D44" s="10" t="s">
        <v>1</v>
      </c>
      <c r="E44" s="10" t="s">
        <v>43</v>
      </c>
      <c r="F44" s="10" t="s">
        <v>47</v>
      </c>
      <c r="G44" s="12" t="s">
        <v>145</v>
      </c>
      <c r="H44" s="12"/>
    </row>
    <row r="45" spans="1:15" ht="13.5" thickBot="1">
      <c r="A45" s="4" t="s">
        <v>6</v>
      </c>
      <c r="B45" s="26" t="s">
        <v>62</v>
      </c>
      <c r="C45" s="2">
        <f>C43</f>
        <v>2682.3500000000004</v>
      </c>
      <c r="D45" s="5">
        <v>0.03</v>
      </c>
      <c r="E45" s="64">
        <f aca="true" t="shared" si="5" ref="E45:E50">C45*D45/1000</f>
        <v>0.0804705</v>
      </c>
      <c r="F45" s="78">
        <f>F31</f>
        <v>145</v>
      </c>
      <c r="G45" s="54">
        <f aca="true" t="shared" si="6" ref="G45:G50">E45*F45</f>
        <v>11.6682225</v>
      </c>
      <c r="H45" s="2"/>
      <c r="J45"/>
      <c r="K45" s="20"/>
      <c r="L45" s="20"/>
      <c r="M45" s="21"/>
      <c r="N45"/>
      <c r="O45"/>
    </row>
    <row r="46" spans="1:15" ht="13.5" thickBot="1">
      <c r="A46" s="4" t="s">
        <v>15</v>
      </c>
      <c r="B46" s="26" t="s">
        <v>62</v>
      </c>
      <c r="C46" s="2">
        <f>C43</f>
        <v>2682.3500000000004</v>
      </c>
      <c r="D46" s="5">
        <v>0.03</v>
      </c>
      <c r="E46" s="64">
        <f t="shared" si="5"/>
        <v>0.0804705</v>
      </c>
      <c r="F46" s="78">
        <v>210</v>
      </c>
      <c r="G46" s="54">
        <f t="shared" si="6"/>
        <v>16.898805</v>
      </c>
      <c r="H46" s="2"/>
      <c r="J46"/>
      <c r="K46" s="20"/>
      <c r="L46" s="20"/>
      <c r="M46" s="21"/>
      <c r="N46"/>
      <c r="O46"/>
    </row>
    <row r="47" spans="1:15" ht="13.5" thickBot="1">
      <c r="A47" s="4" t="s">
        <v>16</v>
      </c>
      <c r="B47" s="26" t="s">
        <v>62</v>
      </c>
      <c r="C47" s="2">
        <f>C43</f>
        <v>2682.3500000000004</v>
      </c>
      <c r="D47" s="5">
        <v>0.1</v>
      </c>
      <c r="E47" s="64">
        <f t="shared" si="5"/>
        <v>0.26823500000000006</v>
      </c>
      <c r="F47" s="78">
        <v>175</v>
      </c>
      <c r="G47" s="54">
        <f t="shared" si="6"/>
        <v>46.94112500000001</v>
      </c>
      <c r="H47" s="2"/>
      <c r="J47"/>
      <c r="K47" s="20"/>
      <c r="L47" s="20"/>
      <c r="M47" s="21"/>
      <c r="N47"/>
      <c r="O47"/>
    </row>
    <row r="48" spans="1:15" ht="13.5" thickBot="1">
      <c r="A48" s="4" t="s">
        <v>17</v>
      </c>
      <c r="B48" s="26" t="s">
        <v>62</v>
      </c>
      <c r="C48" s="2">
        <f>C43</f>
        <v>2682.3500000000004</v>
      </c>
      <c r="D48" s="5">
        <v>5.1</v>
      </c>
      <c r="E48" s="64">
        <f t="shared" si="5"/>
        <v>13.679985</v>
      </c>
      <c r="F48" s="78">
        <v>65</v>
      </c>
      <c r="G48" s="54">
        <f t="shared" si="6"/>
        <v>889.199025</v>
      </c>
      <c r="H48" s="2"/>
      <c r="J48"/>
      <c r="K48" s="20"/>
      <c r="L48" s="20"/>
      <c r="M48" s="21"/>
      <c r="N48"/>
      <c r="O48"/>
    </row>
    <row r="49" spans="1:15" ht="27" thickBot="1">
      <c r="A49" s="4" t="s">
        <v>18</v>
      </c>
      <c r="B49" s="26" t="s">
        <v>62</v>
      </c>
      <c r="C49" s="2">
        <f>C43</f>
        <v>2682.3500000000004</v>
      </c>
      <c r="D49" s="5">
        <v>34.8</v>
      </c>
      <c r="E49" s="64">
        <f t="shared" si="5"/>
        <v>93.34578</v>
      </c>
      <c r="F49" s="78">
        <v>19.7</v>
      </c>
      <c r="G49" s="54">
        <f t="shared" si="6"/>
        <v>1838.911866</v>
      </c>
      <c r="H49" s="2"/>
      <c r="J49"/>
      <c r="K49" s="20"/>
      <c r="L49" s="20"/>
      <c r="M49" s="21"/>
      <c r="N49"/>
      <c r="O49"/>
    </row>
    <row r="50" spans="1:15" ht="13.5" thickBot="1">
      <c r="A50" s="4" t="s">
        <v>19</v>
      </c>
      <c r="B50" s="26" t="s">
        <v>62</v>
      </c>
      <c r="C50" s="2">
        <f>C43</f>
        <v>2682.3500000000004</v>
      </c>
      <c r="D50" s="5">
        <v>0.05</v>
      </c>
      <c r="E50" s="64">
        <f t="shared" si="5"/>
        <v>0.13411750000000003</v>
      </c>
      <c r="F50" s="78">
        <v>2500</v>
      </c>
      <c r="G50" s="54">
        <f t="shared" si="6"/>
        <v>335.29375000000005</v>
      </c>
      <c r="H50" s="2"/>
      <c r="J50"/>
      <c r="K50" s="20"/>
      <c r="L50" s="20"/>
      <c r="M50" s="21"/>
      <c r="N50"/>
      <c r="O50"/>
    </row>
    <row r="51" spans="1:15" ht="12.75">
      <c r="A51" s="4" t="s">
        <v>209</v>
      </c>
      <c r="B51" s="26"/>
      <c r="C51" s="2"/>
      <c r="D51" s="5"/>
      <c r="E51" s="64"/>
      <c r="F51" s="78"/>
      <c r="G51" s="54">
        <f>E43*спецодежда!G14</f>
        <v>649.8061556124792</v>
      </c>
      <c r="H51" s="2"/>
      <c r="J51"/>
      <c r="K51" s="69"/>
      <c r="L51" s="69"/>
      <c r="M51" s="70"/>
      <c r="N51"/>
      <c r="O51"/>
    </row>
    <row r="52" spans="1:15" ht="15">
      <c r="A52" s="9" t="s">
        <v>48</v>
      </c>
      <c r="B52" s="10"/>
      <c r="C52" s="10"/>
      <c r="D52" s="10"/>
      <c r="E52" s="10"/>
      <c r="F52" s="10"/>
      <c r="G52" s="66">
        <f>G43+G45+G46+G47+G48+G49+G50+G51</f>
        <v>32672.493196220646</v>
      </c>
      <c r="H52" s="41">
        <f>G52/12/B5</f>
        <v>0.3547039820677072</v>
      </c>
      <c r="J52"/>
      <c r="N52"/>
      <c r="O52"/>
    </row>
    <row r="54" spans="1:8" ht="20.25" customHeight="1">
      <c r="A54" s="167" t="s">
        <v>240</v>
      </c>
      <c r="B54" s="168"/>
      <c r="C54" s="169" t="s">
        <v>232</v>
      </c>
      <c r="D54" s="170"/>
      <c r="E54" s="170"/>
      <c r="F54" s="170"/>
      <c r="G54" s="170"/>
      <c r="H54" s="170"/>
    </row>
    <row r="55" spans="1:8" ht="91.5" customHeight="1" thickBot="1">
      <c r="A55" s="13" t="s">
        <v>3</v>
      </c>
      <c r="B55" s="13" t="s">
        <v>4</v>
      </c>
      <c r="C55" s="13" t="s">
        <v>0</v>
      </c>
      <c r="D55" s="13" t="s">
        <v>1</v>
      </c>
      <c r="E55" s="13" t="s">
        <v>5</v>
      </c>
      <c r="F55" s="14" t="s">
        <v>46</v>
      </c>
      <c r="G55" s="14" t="s">
        <v>225</v>
      </c>
      <c r="H55" s="14" t="s">
        <v>49</v>
      </c>
    </row>
    <row r="56" spans="1:15" ht="13.5" thickBot="1">
      <c r="A56" s="3" t="s">
        <v>14</v>
      </c>
      <c r="B56" s="59">
        <v>1</v>
      </c>
      <c r="C56" s="2">
        <f>B9</f>
        <v>2194.6499999999996</v>
      </c>
      <c r="D56" s="26">
        <v>318</v>
      </c>
      <c r="E56" s="64">
        <f>C56*D56/1000</f>
        <v>697.8986999999998</v>
      </c>
      <c r="F56" s="64">
        <f>M5</f>
        <v>36.833130328867234</v>
      </c>
      <c r="G56" s="54">
        <f>E56*F56*1.42*1.15*1.302</f>
        <v>54654.78472411473</v>
      </c>
      <c r="H56" s="11"/>
      <c r="J56"/>
      <c r="K56" s="20"/>
      <c r="L56" s="20"/>
      <c r="M56" s="21"/>
      <c r="N56"/>
      <c r="O56"/>
    </row>
    <row r="57" spans="1:8" ht="13.5" thickBot="1">
      <c r="A57" s="9" t="s">
        <v>11</v>
      </c>
      <c r="B57" s="10" t="s">
        <v>42</v>
      </c>
      <c r="C57" s="10" t="s">
        <v>0</v>
      </c>
      <c r="D57" s="10" t="s">
        <v>1</v>
      </c>
      <c r="E57" s="10" t="s">
        <v>43</v>
      </c>
      <c r="F57" s="10" t="s">
        <v>47</v>
      </c>
      <c r="G57" s="12" t="s">
        <v>145</v>
      </c>
      <c r="H57" s="12"/>
    </row>
    <row r="58" spans="1:15" ht="13.5" thickBot="1">
      <c r="A58" s="4" t="s">
        <v>6</v>
      </c>
      <c r="B58" s="26" t="s">
        <v>62</v>
      </c>
      <c r="C58" s="2">
        <f>C56</f>
        <v>2194.6499999999996</v>
      </c>
      <c r="D58" s="5">
        <v>0.05</v>
      </c>
      <c r="E58" s="64">
        <f aca="true" t="shared" si="7" ref="E58:E63">C58*D58/1000</f>
        <v>0.10973249999999998</v>
      </c>
      <c r="F58" s="78">
        <f>F45</f>
        <v>145</v>
      </c>
      <c r="G58" s="54">
        <f aca="true" t="shared" si="8" ref="G58:G63">E58*F58</f>
        <v>15.911212499999998</v>
      </c>
      <c r="H58" s="2"/>
      <c r="J58"/>
      <c r="K58" s="20"/>
      <c r="L58" s="20"/>
      <c r="M58" s="21"/>
      <c r="N58"/>
      <c r="O58"/>
    </row>
    <row r="59" spans="1:15" ht="13.5" thickBot="1">
      <c r="A59" s="4" t="s">
        <v>15</v>
      </c>
      <c r="B59" s="26" t="s">
        <v>62</v>
      </c>
      <c r="C59" s="2">
        <f>C56</f>
        <v>2194.6499999999996</v>
      </c>
      <c r="D59" s="5">
        <v>0.05</v>
      </c>
      <c r="E59" s="64">
        <f t="shared" si="7"/>
        <v>0.10973249999999998</v>
      </c>
      <c r="F59" s="78">
        <f>F46</f>
        <v>210</v>
      </c>
      <c r="G59" s="54">
        <f t="shared" si="8"/>
        <v>23.043824999999995</v>
      </c>
      <c r="H59" s="2"/>
      <c r="J59"/>
      <c r="K59" s="20"/>
      <c r="L59" s="20"/>
      <c r="M59" s="21"/>
      <c r="N59"/>
      <c r="O59"/>
    </row>
    <row r="60" spans="1:15" ht="13.5" thickBot="1">
      <c r="A60" s="4" t="s">
        <v>16</v>
      </c>
      <c r="B60" s="26" t="s">
        <v>62</v>
      </c>
      <c r="C60" s="2">
        <f>C56</f>
        <v>2194.6499999999996</v>
      </c>
      <c r="D60" s="5">
        <v>0.16</v>
      </c>
      <c r="E60" s="64">
        <f t="shared" si="7"/>
        <v>0.35114399999999996</v>
      </c>
      <c r="F60" s="78">
        <f>F47</f>
        <v>175</v>
      </c>
      <c r="G60" s="54">
        <f t="shared" si="8"/>
        <v>61.450199999999995</v>
      </c>
      <c r="H60" s="2"/>
      <c r="J60"/>
      <c r="K60" s="20"/>
      <c r="L60" s="20"/>
      <c r="M60" s="21"/>
      <c r="N60"/>
      <c r="O60"/>
    </row>
    <row r="61" spans="1:15" ht="13.5" thickBot="1">
      <c r="A61" s="4" t="s">
        <v>17</v>
      </c>
      <c r="B61" s="26" t="s">
        <v>62</v>
      </c>
      <c r="C61" s="2">
        <f>C56</f>
        <v>2194.6499999999996</v>
      </c>
      <c r="D61" s="5">
        <v>8.51</v>
      </c>
      <c r="E61" s="64">
        <f t="shared" si="7"/>
        <v>18.676471499999995</v>
      </c>
      <c r="F61" s="78">
        <f>F48</f>
        <v>65</v>
      </c>
      <c r="G61" s="54">
        <f t="shared" si="8"/>
        <v>1213.9706474999996</v>
      </c>
      <c r="H61" s="2"/>
      <c r="J61"/>
      <c r="K61" s="20"/>
      <c r="L61" s="20"/>
      <c r="M61" s="21"/>
      <c r="N61"/>
      <c r="O61"/>
    </row>
    <row r="62" spans="1:15" ht="27" thickBot="1">
      <c r="A62" s="4" t="s">
        <v>18</v>
      </c>
      <c r="B62" s="26" t="s">
        <v>62</v>
      </c>
      <c r="C62" s="2">
        <f>C56</f>
        <v>2194.6499999999996</v>
      </c>
      <c r="D62" s="5">
        <v>58.63</v>
      </c>
      <c r="E62" s="64">
        <f t="shared" si="7"/>
        <v>128.6723295</v>
      </c>
      <c r="F62" s="78">
        <f>F49</f>
        <v>19.7</v>
      </c>
      <c r="G62" s="54">
        <f t="shared" si="8"/>
        <v>2534.8448911499995</v>
      </c>
      <c r="H62" s="2"/>
      <c r="J62"/>
      <c r="K62" s="20"/>
      <c r="L62" s="20"/>
      <c r="M62" s="21"/>
      <c r="N62"/>
      <c r="O62"/>
    </row>
    <row r="63" spans="1:15" ht="13.5" thickBot="1">
      <c r="A63" s="4" t="s">
        <v>19</v>
      </c>
      <c r="B63" s="26" t="s">
        <v>62</v>
      </c>
      <c r="C63" s="2">
        <f>C56</f>
        <v>2194.6499999999996</v>
      </c>
      <c r="D63" s="5">
        <v>0.08</v>
      </c>
      <c r="E63" s="64">
        <f t="shared" si="7"/>
        <v>0.17557199999999998</v>
      </c>
      <c r="F63" s="78">
        <v>2500</v>
      </c>
      <c r="G63" s="54">
        <f t="shared" si="8"/>
        <v>438.92999999999995</v>
      </c>
      <c r="H63" s="2"/>
      <c r="J63"/>
      <c r="K63" s="20"/>
      <c r="L63" s="20"/>
      <c r="M63" s="21"/>
      <c r="N63"/>
      <c r="O63"/>
    </row>
    <row r="64" spans="1:15" ht="13.5" thickBot="1">
      <c r="A64" s="4" t="s">
        <v>209</v>
      </c>
      <c r="B64" s="26"/>
      <c r="C64" s="2"/>
      <c r="D64" s="5"/>
      <c r="E64" s="64"/>
      <c r="F64" s="78"/>
      <c r="G64" s="54">
        <f>E56*спецодежда!G14</f>
        <v>1229.5836147853981</v>
      </c>
      <c r="H64" s="2"/>
      <c r="J64"/>
      <c r="K64" s="20"/>
      <c r="L64" s="20"/>
      <c r="M64" s="21"/>
      <c r="N64"/>
      <c r="O64"/>
    </row>
    <row r="65" spans="1:15" ht="15">
      <c r="A65" s="9" t="s">
        <v>48</v>
      </c>
      <c r="B65" s="10"/>
      <c r="C65" s="10"/>
      <c r="D65" s="10"/>
      <c r="E65" s="10"/>
      <c r="F65" s="10"/>
      <c r="G65" s="66">
        <f>G56+G58+G59+G60+G61+G62+G63+G64</f>
        <v>60172.519115050134</v>
      </c>
      <c r="H65" s="41">
        <f>G65/B5/12</f>
        <v>0.6532538552528458</v>
      </c>
      <c r="J65"/>
      <c r="N65"/>
      <c r="O65"/>
    </row>
    <row r="66" spans="1:8" ht="12.75">
      <c r="A66" s="22"/>
      <c r="B66" s="23"/>
      <c r="C66" s="23"/>
      <c r="D66" s="24"/>
      <c r="E66" s="23"/>
      <c r="F66" s="23"/>
      <c r="G66" s="23"/>
      <c r="H66" s="23"/>
    </row>
    <row r="68" spans="1:8" ht="20.25" customHeight="1">
      <c r="A68" s="167" t="s">
        <v>241</v>
      </c>
      <c r="B68" s="168"/>
      <c r="C68" s="169" t="s">
        <v>20</v>
      </c>
      <c r="D68" s="170"/>
      <c r="E68" s="170"/>
      <c r="F68" s="170"/>
      <c r="G68" s="170"/>
      <c r="H68" s="170"/>
    </row>
    <row r="69" spans="1:8" ht="91.5" customHeight="1" thickBot="1">
      <c r="A69" s="13" t="s">
        <v>3</v>
      </c>
      <c r="B69" s="13" t="s">
        <v>4</v>
      </c>
      <c r="C69" s="13" t="s">
        <v>0</v>
      </c>
      <c r="D69" s="13" t="s">
        <v>1</v>
      </c>
      <c r="E69" s="13" t="s">
        <v>5</v>
      </c>
      <c r="F69" s="14" t="s">
        <v>46</v>
      </c>
      <c r="G69" s="14" t="s">
        <v>225</v>
      </c>
      <c r="H69" s="14" t="s">
        <v>49</v>
      </c>
    </row>
    <row r="70" spans="1:15" ht="13.5" thickBot="1">
      <c r="A70" s="3" t="s">
        <v>14</v>
      </c>
      <c r="B70" s="59">
        <v>1</v>
      </c>
      <c r="C70" s="2">
        <f>B5</f>
        <v>7676</v>
      </c>
      <c r="D70" s="26">
        <v>9.17</v>
      </c>
      <c r="E70" s="64">
        <f>C70*D70/1000</f>
        <v>70.38892</v>
      </c>
      <c r="F70" s="64">
        <f>M5</f>
        <v>36.833130328867234</v>
      </c>
      <c r="G70" s="54">
        <f>E70*F70*1.42*1.15*1.302</f>
        <v>5512.3920843568485</v>
      </c>
      <c r="H70" s="11"/>
      <c r="J70"/>
      <c r="K70" s="20"/>
      <c r="L70" s="20"/>
      <c r="M70" s="21"/>
      <c r="N70"/>
      <c r="O70"/>
    </row>
    <row r="71" spans="1:8" ht="13.5" thickBot="1">
      <c r="A71" s="9" t="s">
        <v>11</v>
      </c>
      <c r="B71" s="10" t="s">
        <v>42</v>
      </c>
      <c r="C71" s="10" t="s">
        <v>0</v>
      </c>
      <c r="D71" s="10" t="s">
        <v>1</v>
      </c>
      <c r="E71" s="10" t="s">
        <v>43</v>
      </c>
      <c r="F71" s="10" t="s">
        <v>47</v>
      </c>
      <c r="G71" s="12" t="s">
        <v>145</v>
      </c>
      <c r="H71" s="12"/>
    </row>
    <row r="72" spans="1:15" ht="27" thickBot="1">
      <c r="A72" s="4" t="s">
        <v>18</v>
      </c>
      <c r="B72" s="26" t="s">
        <v>62</v>
      </c>
      <c r="C72" s="2">
        <f>B5</f>
        <v>7676</v>
      </c>
      <c r="D72" s="5">
        <v>1.7</v>
      </c>
      <c r="E72" s="64">
        <f>C72*D72/1000</f>
        <v>13.049199999999999</v>
      </c>
      <c r="F72" s="78">
        <f>F49</f>
        <v>19.7</v>
      </c>
      <c r="G72" s="54">
        <f>E72*F72</f>
        <v>257.06924</v>
      </c>
      <c r="H72" s="2"/>
      <c r="J72"/>
      <c r="K72" s="20"/>
      <c r="L72" s="20"/>
      <c r="M72" s="21"/>
      <c r="N72"/>
      <c r="O72"/>
    </row>
    <row r="73" spans="1:15" ht="13.5" thickBot="1">
      <c r="A73" s="4" t="s">
        <v>209</v>
      </c>
      <c r="B73" s="26"/>
      <c r="C73" s="2"/>
      <c r="D73" s="5"/>
      <c r="E73" s="64"/>
      <c r="F73" s="78"/>
      <c r="G73" s="54">
        <f>E70*спецодежда!G14</f>
        <v>124.01378981568561</v>
      </c>
      <c r="H73" s="2"/>
      <c r="J73"/>
      <c r="K73" s="20"/>
      <c r="L73" s="20"/>
      <c r="M73" s="21"/>
      <c r="N73"/>
      <c r="O73"/>
    </row>
    <row r="74" spans="1:15" ht="15">
      <c r="A74" s="9" t="s">
        <v>48</v>
      </c>
      <c r="B74" s="10"/>
      <c r="C74" s="10"/>
      <c r="D74" s="10"/>
      <c r="E74" s="10"/>
      <c r="F74" s="10"/>
      <c r="G74" s="66">
        <f>G70+G72+G73</f>
        <v>5893.475114172534</v>
      </c>
      <c r="H74" s="41">
        <f>G74/B5/12</f>
        <v>0.06398162144099069</v>
      </c>
      <c r="J74"/>
      <c r="N74"/>
      <c r="O74"/>
    </row>
    <row r="77" spans="1:8" ht="28.5" customHeight="1">
      <c r="A77" s="167" t="s">
        <v>242</v>
      </c>
      <c r="B77" s="168"/>
      <c r="C77" s="169" t="s">
        <v>24</v>
      </c>
      <c r="D77" s="170"/>
      <c r="E77" s="170"/>
      <c r="F77" s="170"/>
      <c r="G77" s="170"/>
      <c r="H77" s="170"/>
    </row>
    <row r="78" spans="1:8" ht="91.5" customHeight="1" thickBot="1">
      <c r="A78" s="13" t="s">
        <v>3</v>
      </c>
      <c r="B78" s="13" t="s">
        <v>4</v>
      </c>
      <c r="C78" s="13" t="s">
        <v>0</v>
      </c>
      <c r="D78" s="13" t="s">
        <v>1</v>
      </c>
      <c r="E78" s="13" t="s">
        <v>5</v>
      </c>
      <c r="F78" s="14" t="s">
        <v>46</v>
      </c>
      <c r="G78" s="14" t="s">
        <v>225</v>
      </c>
      <c r="H78" s="14" t="s">
        <v>49</v>
      </c>
    </row>
    <row r="79" spans="1:15" ht="13.5" thickBot="1">
      <c r="A79" s="3" t="s">
        <v>14</v>
      </c>
      <c r="B79" s="59">
        <v>1</v>
      </c>
      <c r="C79" s="2">
        <f>B8</f>
        <v>2682.3500000000004</v>
      </c>
      <c r="D79" s="26">
        <v>63</v>
      </c>
      <c r="E79" s="64">
        <f>C79*D79/10000</f>
        <v>16.898805000000003</v>
      </c>
      <c r="F79" s="64">
        <f>M5</f>
        <v>36.833130328867234</v>
      </c>
      <c r="G79" s="54">
        <f>E79*F79*1.42*1.15*1.302</f>
        <v>1323.4020200493192</v>
      </c>
      <c r="H79" s="11"/>
      <c r="J79"/>
      <c r="K79" s="20"/>
      <c r="L79" s="20"/>
      <c r="M79" s="21"/>
      <c r="N79"/>
      <c r="O79"/>
    </row>
    <row r="80" spans="1:8" ht="13.5" thickBot="1">
      <c r="A80" s="9" t="s">
        <v>11</v>
      </c>
      <c r="B80" s="10" t="s">
        <v>42</v>
      </c>
      <c r="C80" s="10" t="s">
        <v>0</v>
      </c>
      <c r="D80" s="10" t="s">
        <v>1</v>
      </c>
      <c r="E80" s="10" t="s">
        <v>43</v>
      </c>
      <c r="F80" s="10" t="s">
        <v>47</v>
      </c>
      <c r="G80" s="12" t="s">
        <v>145</v>
      </c>
      <c r="H80" s="12"/>
    </row>
    <row r="81" spans="1:15" ht="13.5" thickBot="1">
      <c r="A81" s="4" t="s">
        <v>21</v>
      </c>
      <c r="B81" s="26" t="s">
        <v>62</v>
      </c>
      <c r="C81" s="2">
        <f>C79</f>
        <v>2682.3500000000004</v>
      </c>
      <c r="D81" s="5">
        <v>0.03</v>
      </c>
      <c r="E81" s="64">
        <f aca="true" t="shared" si="9" ref="E81:E86">C81*D81/10000</f>
        <v>0.00804705</v>
      </c>
      <c r="F81" s="78">
        <v>806</v>
      </c>
      <c r="G81" s="54">
        <f aca="true" t="shared" si="10" ref="G81:G86">E81*F81</f>
        <v>6.4859223</v>
      </c>
      <c r="H81" s="2"/>
      <c r="J81"/>
      <c r="K81" s="20"/>
      <c r="L81" s="20"/>
      <c r="M81" s="21"/>
      <c r="N81"/>
      <c r="O81"/>
    </row>
    <row r="82" spans="1:15" ht="13.5" thickBot="1">
      <c r="A82" s="4" t="s">
        <v>22</v>
      </c>
      <c r="B82" s="26" t="s">
        <v>62</v>
      </c>
      <c r="C82" s="2">
        <f>C79</f>
        <v>2682.3500000000004</v>
      </c>
      <c r="D82" s="5">
        <v>0.02</v>
      </c>
      <c r="E82" s="64">
        <f t="shared" si="9"/>
        <v>0.005364700000000001</v>
      </c>
      <c r="F82" s="78">
        <f>F60</f>
        <v>175</v>
      </c>
      <c r="G82" s="54">
        <f t="shared" si="10"/>
        <v>0.9388225000000001</v>
      </c>
      <c r="H82" s="2"/>
      <c r="J82"/>
      <c r="K82" s="20"/>
      <c r="L82" s="20"/>
      <c r="M82" s="21"/>
      <c r="N82"/>
      <c r="O82"/>
    </row>
    <row r="83" spans="1:15" ht="13.5" thickBot="1">
      <c r="A83" s="4" t="s">
        <v>16</v>
      </c>
      <c r="B83" s="26" t="s">
        <v>62</v>
      </c>
      <c r="C83" s="2">
        <f>C79</f>
        <v>2682.3500000000004</v>
      </c>
      <c r="D83" s="5">
        <v>0.03</v>
      </c>
      <c r="E83" s="64">
        <f t="shared" si="9"/>
        <v>0.00804705</v>
      </c>
      <c r="F83" s="78">
        <f>F60</f>
        <v>175</v>
      </c>
      <c r="G83" s="54">
        <f t="shared" si="10"/>
        <v>1.40823375</v>
      </c>
      <c r="H83" s="2"/>
      <c r="J83"/>
      <c r="K83" s="20"/>
      <c r="L83" s="20"/>
      <c r="M83" s="21"/>
      <c r="N83"/>
      <c r="O83"/>
    </row>
    <row r="84" spans="1:15" ht="13.5" thickBot="1">
      <c r="A84" s="4" t="s">
        <v>17</v>
      </c>
      <c r="B84" s="26" t="s">
        <v>62</v>
      </c>
      <c r="C84" s="2">
        <f>C79</f>
        <v>2682.3500000000004</v>
      </c>
      <c r="D84" s="5">
        <v>2.23</v>
      </c>
      <c r="E84" s="64">
        <f t="shared" si="9"/>
        <v>0.5981640500000001</v>
      </c>
      <c r="F84" s="78">
        <f>F61</f>
        <v>65</v>
      </c>
      <c r="G84" s="54">
        <f t="shared" si="10"/>
        <v>38.880663250000005</v>
      </c>
      <c r="H84" s="2"/>
      <c r="J84"/>
      <c r="K84" s="20"/>
      <c r="L84" s="20"/>
      <c r="M84" s="21"/>
      <c r="N84"/>
      <c r="O84"/>
    </row>
    <row r="85" spans="1:15" ht="13.5" thickBot="1">
      <c r="A85" s="4" t="s">
        <v>23</v>
      </c>
      <c r="B85" s="26" t="s">
        <v>62</v>
      </c>
      <c r="C85" s="2">
        <f>C79</f>
        <v>2682.3500000000004</v>
      </c>
      <c r="D85" s="5">
        <v>0.03</v>
      </c>
      <c r="E85" s="64">
        <f t="shared" si="9"/>
        <v>0.00804705</v>
      </c>
      <c r="F85" s="78">
        <v>350</v>
      </c>
      <c r="G85" s="54">
        <f t="shared" si="10"/>
        <v>2.8164675</v>
      </c>
      <c r="H85" s="2"/>
      <c r="J85"/>
      <c r="K85" s="20"/>
      <c r="L85" s="20"/>
      <c r="M85" s="21"/>
      <c r="N85"/>
      <c r="O85"/>
    </row>
    <row r="86" spans="1:15" ht="13.5" thickBot="1">
      <c r="A86" s="4" t="s">
        <v>19</v>
      </c>
      <c r="B86" s="26" t="s">
        <v>62</v>
      </c>
      <c r="C86" s="2">
        <f>C79</f>
        <v>2682.3500000000004</v>
      </c>
      <c r="D86" s="5">
        <v>0.02</v>
      </c>
      <c r="E86" s="64">
        <f t="shared" si="9"/>
        <v>0.005364700000000001</v>
      </c>
      <c r="F86" s="78">
        <f>F63</f>
        <v>2500</v>
      </c>
      <c r="G86" s="54">
        <f t="shared" si="10"/>
        <v>13.411750000000001</v>
      </c>
      <c r="H86" s="2"/>
      <c r="J86"/>
      <c r="K86" s="20"/>
      <c r="L86" s="20"/>
      <c r="M86" s="21"/>
      <c r="N86"/>
      <c r="O86"/>
    </row>
    <row r="87" spans="1:15" ht="13.5" thickBot="1">
      <c r="A87" s="4" t="s">
        <v>209</v>
      </c>
      <c r="B87" s="26"/>
      <c r="C87" s="2"/>
      <c r="D87" s="5"/>
      <c r="E87" s="64"/>
      <c r="F87" s="78"/>
      <c r="G87" s="54">
        <f>E79*спецодежда!G14</f>
        <v>29.77293658442632</v>
      </c>
      <c r="H87" s="2"/>
      <c r="J87"/>
      <c r="K87" s="20"/>
      <c r="L87" s="20"/>
      <c r="M87" s="21"/>
      <c r="N87"/>
      <c r="O87"/>
    </row>
    <row r="88" spans="1:15" ht="15">
      <c r="A88" s="9" t="s">
        <v>48</v>
      </c>
      <c r="B88" s="10"/>
      <c r="C88" s="10"/>
      <c r="D88" s="10"/>
      <c r="E88" s="10"/>
      <c r="F88" s="10"/>
      <c r="G88" s="66">
        <f>G79+G81+G82+G83+G84+G85+G86+G87</f>
        <v>1417.1168159337456</v>
      </c>
      <c r="H88" s="41">
        <f>G88/B5/12</f>
        <v>0.015384714433882075</v>
      </c>
      <c r="J88"/>
      <c r="N88"/>
      <c r="O88"/>
    </row>
    <row r="90" spans="1:8" ht="28.5" customHeight="1">
      <c r="A90" s="167" t="s">
        <v>243</v>
      </c>
      <c r="B90" s="168"/>
      <c r="C90" s="169" t="s">
        <v>24</v>
      </c>
      <c r="D90" s="170"/>
      <c r="E90" s="170"/>
      <c r="F90" s="170"/>
      <c r="G90" s="170"/>
      <c r="H90" s="170"/>
    </row>
    <row r="91" spans="1:8" ht="91.5" customHeight="1" thickBot="1">
      <c r="A91" s="13" t="s">
        <v>3</v>
      </c>
      <c r="B91" s="13" t="s">
        <v>4</v>
      </c>
      <c r="C91" s="13" t="s">
        <v>0</v>
      </c>
      <c r="D91" s="13" t="s">
        <v>1</v>
      </c>
      <c r="E91" s="13" t="s">
        <v>5</v>
      </c>
      <c r="F91" s="14" t="s">
        <v>46</v>
      </c>
      <c r="G91" s="14" t="s">
        <v>225</v>
      </c>
      <c r="H91" s="14" t="s">
        <v>49</v>
      </c>
    </row>
    <row r="92" spans="1:15" ht="13.5" thickBot="1">
      <c r="A92" s="3" t="s">
        <v>14</v>
      </c>
      <c r="B92" s="59">
        <v>1</v>
      </c>
      <c r="C92" s="2">
        <f>B8</f>
        <v>2682.3500000000004</v>
      </c>
      <c r="D92" s="26">
        <v>325</v>
      </c>
      <c r="E92" s="64">
        <f>C92*D92/1000</f>
        <v>871.7637500000001</v>
      </c>
      <c r="F92" s="64">
        <f>M5</f>
        <v>36.833130328867234</v>
      </c>
      <c r="G92" s="54">
        <f>E92*F92*1.42*1.15*1.302</f>
        <v>68270.73912952837</v>
      </c>
      <c r="H92" s="11"/>
      <c r="J92"/>
      <c r="K92" s="20"/>
      <c r="L92" s="20"/>
      <c r="M92" s="21"/>
      <c r="N92"/>
      <c r="O92"/>
    </row>
    <row r="93" spans="1:8" ht="13.5" thickBot="1">
      <c r="A93" s="9" t="s">
        <v>11</v>
      </c>
      <c r="B93" s="10" t="s">
        <v>42</v>
      </c>
      <c r="C93" s="10" t="s">
        <v>0</v>
      </c>
      <c r="D93" s="10" t="s">
        <v>1</v>
      </c>
      <c r="E93" s="10" t="s">
        <v>43</v>
      </c>
      <c r="F93" s="10" t="s">
        <v>47</v>
      </c>
      <c r="G93" s="12" t="s">
        <v>145</v>
      </c>
      <c r="H93" s="12"/>
    </row>
    <row r="94" spans="1:15" ht="13.5" thickBot="1">
      <c r="A94" s="4" t="s">
        <v>21</v>
      </c>
      <c r="B94" s="26" t="s">
        <v>62</v>
      </c>
      <c r="C94" s="2">
        <f>C92</f>
        <v>2682.3500000000004</v>
      </c>
      <c r="D94" s="5">
        <v>0.16</v>
      </c>
      <c r="E94" s="64">
        <f aca="true" t="shared" si="11" ref="E94:E99">C94*D94/1000</f>
        <v>0.42917600000000006</v>
      </c>
      <c r="F94" s="78">
        <f aca="true" t="shared" si="12" ref="F94:F99">F81</f>
        <v>806</v>
      </c>
      <c r="G94" s="54">
        <f aca="true" t="shared" si="13" ref="G94:G99">E94*F94</f>
        <v>345.915856</v>
      </c>
      <c r="H94" s="2"/>
      <c r="J94"/>
      <c r="K94" s="20"/>
      <c r="L94" s="20"/>
      <c r="M94" s="21"/>
      <c r="N94"/>
      <c r="O94"/>
    </row>
    <row r="95" spans="1:15" ht="13.5" thickBot="1">
      <c r="A95" s="4" t="s">
        <v>22</v>
      </c>
      <c r="B95" s="26" t="s">
        <v>62</v>
      </c>
      <c r="C95" s="2">
        <f>C92</f>
        <v>2682.3500000000004</v>
      </c>
      <c r="D95" s="5">
        <v>0.08</v>
      </c>
      <c r="E95" s="64">
        <f t="shared" si="11"/>
        <v>0.21458800000000003</v>
      </c>
      <c r="F95" s="78">
        <f t="shared" si="12"/>
        <v>175</v>
      </c>
      <c r="G95" s="54">
        <f t="shared" si="13"/>
        <v>37.55290000000001</v>
      </c>
      <c r="H95" s="2"/>
      <c r="J95"/>
      <c r="K95" s="20"/>
      <c r="L95" s="20"/>
      <c r="M95" s="21"/>
      <c r="N95"/>
      <c r="O95"/>
    </row>
    <row r="96" spans="1:15" ht="13.5" thickBot="1">
      <c r="A96" s="4" t="s">
        <v>16</v>
      </c>
      <c r="B96" s="26" t="s">
        <v>62</v>
      </c>
      <c r="C96" s="2">
        <f>C92</f>
        <v>2682.3500000000004</v>
      </c>
      <c r="D96" s="5">
        <v>0.16</v>
      </c>
      <c r="E96" s="64">
        <f t="shared" si="11"/>
        <v>0.42917600000000006</v>
      </c>
      <c r="F96" s="78">
        <f t="shared" si="12"/>
        <v>175</v>
      </c>
      <c r="G96" s="54">
        <f t="shared" si="13"/>
        <v>75.10580000000002</v>
      </c>
      <c r="H96" s="2"/>
      <c r="J96"/>
      <c r="K96" s="20"/>
      <c r="L96" s="20"/>
      <c r="M96" s="21"/>
      <c r="N96"/>
      <c r="O96"/>
    </row>
    <row r="97" spans="1:15" ht="13.5" thickBot="1">
      <c r="A97" s="4" t="s">
        <v>17</v>
      </c>
      <c r="B97" s="26" t="s">
        <v>62</v>
      </c>
      <c r="C97" s="2">
        <f>C92</f>
        <v>2682.3500000000004</v>
      </c>
      <c r="D97" s="5">
        <v>11.48</v>
      </c>
      <c r="E97" s="64">
        <f t="shared" si="11"/>
        <v>30.793378000000004</v>
      </c>
      <c r="F97" s="78">
        <f t="shared" si="12"/>
        <v>65</v>
      </c>
      <c r="G97" s="54">
        <f t="shared" si="13"/>
        <v>2001.5695700000003</v>
      </c>
      <c r="H97" s="2"/>
      <c r="J97"/>
      <c r="K97" s="20"/>
      <c r="L97" s="20"/>
      <c r="M97" s="21"/>
      <c r="N97"/>
      <c r="O97"/>
    </row>
    <row r="98" spans="1:15" ht="13.5" thickBot="1">
      <c r="A98" s="4" t="s">
        <v>23</v>
      </c>
      <c r="B98" s="26" t="s">
        <v>62</v>
      </c>
      <c r="C98" s="2">
        <f>C92</f>
        <v>2682.3500000000004</v>
      </c>
      <c r="D98" s="5">
        <v>0.16</v>
      </c>
      <c r="E98" s="64">
        <f t="shared" si="11"/>
        <v>0.42917600000000006</v>
      </c>
      <c r="F98" s="78">
        <f t="shared" si="12"/>
        <v>350</v>
      </c>
      <c r="G98" s="54">
        <f t="shared" si="13"/>
        <v>150.21160000000003</v>
      </c>
      <c r="H98" s="2"/>
      <c r="J98"/>
      <c r="K98" s="20"/>
      <c r="L98" s="20"/>
      <c r="M98" s="21"/>
      <c r="N98"/>
      <c r="O98"/>
    </row>
    <row r="99" spans="1:15" ht="13.5" thickBot="1">
      <c r="A99" s="4" t="s">
        <v>19</v>
      </c>
      <c r="B99" s="26" t="s">
        <v>62</v>
      </c>
      <c r="C99" s="2">
        <f>C92</f>
        <v>2682.3500000000004</v>
      </c>
      <c r="D99" s="5">
        <v>0.08</v>
      </c>
      <c r="E99" s="64">
        <f t="shared" si="11"/>
        <v>0.21458800000000003</v>
      </c>
      <c r="F99" s="78">
        <f t="shared" si="12"/>
        <v>2500</v>
      </c>
      <c r="G99" s="54">
        <f t="shared" si="13"/>
        <v>536.47</v>
      </c>
      <c r="H99" s="2"/>
      <c r="J99"/>
      <c r="K99" s="20"/>
      <c r="L99" s="20"/>
      <c r="M99" s="21"/>
      <c r="N99"/>
      <c r="O99"/>
    </row>
    <row r="100" spans="1:15" ht="13.5" thickBot="1">
      <c r="A100" s="4" t="s">
        <v>209</v>
      </c>
      <c r="B100" s="26"/>
      <c r="C100" s="2"/>
      <c r="D100" s="5"/>
      <c r="E100" s="64"/>
      <c r="F100" s="78"/>
      <c r="G100" s="54">
        <f>E92*спецодежда!G14</f>
        <v>1535.9054587204052</v>
      </c>
      <c r="H100" s="2"/>
      <c r="J100"/>
      <c r="K100" s="20"/>
      <c r="L100" s="20"/>
      <c r="M100" s="21"/>
      <c r="N100"/>
      <c r="O100"/>
    </row>
    <row r="101" spans="1:15" ht="15">
      <c r="A101" s="9" t="s">
        <v>48</v>
      </c>
      <c r="B101" s="10"/>
      <c r="C101" s="10"/>
      <c r="D101" s="10"/>
      <c r="E101" s="10"/>
      <c r="F101" s="10"/>
      <c r="G101" s="66">
        <f>G92+G94+G95+G96+G97+G98+G99+G100</f>
        <v>72953.47031424879</v>
      </c>
      <c r="H101" s="41">
        <f>G101/B5/12</f>
        <v>0.7920083193747697</v>
      </c>
      <c r="J101"/>
      <c r="N101"/>
      <c r="O101"/>
    </row>
    <row r="103" spans="1:8" ht="12.75">
      <c r="A103" s="173" t="s">
        <v>244</v>
      </c>
      <c r="B103" s="174"/>
      <c r="C103" s="174"/>
      <c r="D103" s="174"/>
      <c r="E103" s="174"/>
      <c r="F103" s="174"/>
      <c r="G103" s="174"/>
      <c r="H103" s="174"/>
    </row>
    <row r="104" spans="1:8" ht="27" customHeight="1">
      <c r="A104" s="171" t="s">
        <v>224</v>
      </c>
      <c r="B104" s="179"/>
      <c r="C104" s="179"/>
      <c r="D104" s="179"/>
      <c r="E104" s="179"/>
      <c r="F104" s="179"/>
      <c r="G104" s="39" t="s">
        <v>116</v>
      </c>
      <c r="H104" s="41">
        <f>(H88+H101)*0.14</f>
        <v>0.11303502473321127</v>
      </c>
    </row>
    <row r="106" spans="1:8" ht="12.75" customHeight="1">
      <c r="A106" s="173" t="s">
        <v>245</v>
      </c>
      <c r="B106" s="174"/>
      <c r="C106" s="174"/>
      <c r="D106" s="174"/>
      <c r="E106" s="174"/>
      <c r="F106" s="174"/>
      <c r="G106" s="174"/>
      <c r="H106" s="174"/>
    </row>
    <row r="108" spans="1:8" ht="58.5" customHeight="1">
      <c r="A108" s="167" t="s">
        <v>246</v>
      </c>
      <c r="B108" s="168"/>
      <c r="C108" s="169" t="s">
        <v>233</v>
      </c>
      <c r="D108" s="170"/>
      <c r="E108" s="170"/>
      <c r="F108" s="170"/>
      <c r="G108" s="170"/>
      <c r="H108" s="170"/>
    </row>
    <row r="109" spans="1:8" ht="91.5" customHeight="1" thickBot="1">
      <c r="A109" s="13" t="s">
        <v>3</v>
      </c>
      <c r="B109" s="13" t="s">
        <v>4</v>
      </c>
      <c r="C109" s="13" t="s">
        <v>0</v>
      </c>
      <c r="D109" s="13" t="s">
        <v>1</v>
      </c>
      <c r="E109" s="13" t="s">
        <v>5</v>
      </c>
      <c r="F109" s="14" t="s">
        <v>46</v>
      </c>
      <c r="G109" s="14" t="s">
        <v>225</v>
      </c>
      <c r="H109" s="14" t="s">
        <v>49</v>
      </c>
    </row>
    <row r="110" spans="1:15" ht="13.5" thickBot="1">
      <c r="A110" s="3" t="s">
        <v>26</v>
      </c>
      <c r="B110" s="59">
        <v>4</v>
      </c>
      <c r="C110" s="2">
        <f>B5</f>
        <v>7676</v>
      </c>
      <c r="D110" s="26">
        <v>0.03</v>
      </c>
      <c r="E110" s="64">
        <f aca="true" t="shared" si="14" ref="E110:E117">C110*D110/1000</f>
        <v>0.23028</v>
      </c>
      <c r="F110" s="64">
        <f>M8</f>
        <v>70.35127892813641</v>
      </c>
      <c r="G110" s="54">
        <f>E110*F110*1.42*1.15*1.302</f>
        <v>34.4449363613574</v>
      </c>
      <c r="H110" s="11"/>
      <c r="J110"/>
      <c r="K110" s="20"/>
      <c r="L110" s="20"/>
      <c r="M110" s="21"/>
      <c r="N110"/>
      <c r="O110"/>
    </row>
    <row r="111" spans="1:15" ht="13.5" thickBot="1">
      <c r="A111" s="3" t="s">
        <v>27</v>
      </c>
      <c r="B111" s="59">
        <v>3</v>
      </c>
      <c r="C111" s="2">
        <f>C110</f>
        <v>7676</v>
      </c>
      <c r="D111" s="26">
        <v>0.09</v>
      </c>
      <c r="E111" s="64">
        <f t="shared" si="14"/>
        <v>0.6908399999999999</v>
      </c>
      <c r="F111" s="64">
        <f>M7</f>
        <v>62.24799025578562</v>
      </c>
      <c r="G111" s="54">
        <f>E111*F111*1.42*1.15*1.302</f>
        <v>91.43237034140421</v>
      </c>
      <c r="H111" s="11"/>
      <c r="J111"/>
      <c r="K111" s="20"/>
      <c r="L111" s="20"/>
      <c r="M111" s="21"/>
      <c r="N111"/>
      <c r="O111"/>
    </row>
    <row r="112" spans="1:15" ht="13.5" thickBot="1">
      <c r="A112" s="3" t="s">
        <v>26</v>
      </c>
      <c r="B112" s="59">
        <v>2</v>
      </c>
      <c r="C112" s="2">
        <f>C110</f>
        <v>7676</v>
      </c>
      <c r="D112" s="26">
        <v>0.06</v>
      </c>
      <c r="E112" s="64">
        <f t="shared" si="14"/>
        <v>0.46056</v>
      </c>
      <c r="F112" s="64">
        <f>M6</f>
        <v>47.88306942752741</v>
      </c>
      <c r="G112" s="54">
        <f>E112*F112*1.42*1.15*1.302</f>
        <v>46.88839504687396</v>
      </c>
      <c r="H112" s="11"/>
      <c r="J112"/>
      <c r="K112" s="20"/>
      <c r="L112" s="20"/>
      <c r="M112" s="21"/>
      <c r="N112"/>
      <c r="O112"/>
    </row>
    <row r="113" spans="1:15" ht="13.5" thickBot="1">
      <c r="A113" s="3" t="s">
        <v>26</v>
      </c>
      <c r="B113" s="59">
        <v>1</v>
      </c>
      <c r="C113" s="2">
        <f>C110</f>
        <v>7676</v>
      </c>
      <c r="D113" s="26">
        <v>0.03</v>
      </c>
      <c r="E113" s="64">
        <f t="shared" si="14"/>
        <v>0.23028</v>
      </c>
      <c r="F113" s="64">
        <f>M5</f>
        <v>36.833130328867234</v>
      </c>
      <c r="G113" s="54">
        <f>E113*F113*1.42*1.15*1.302</f>
        <v>18.03399809495152</v>
      </c>
      <c r="H113" s="11"/>
      <c r="J113"/>
      <c r="K113" s="20"/>
      <c r="L113" s="20"/>
      <c r="M113" s="21"/>
      <c r="N113"/>
      <c r="O113"/>
    </row>
    <row r="114" spans="1:15" ht="13.5" thickBot="1">
      <c r="A114" s="3" t="s">
        <v>28</v>
      </c>
      <c r="B114" s="59">
        <v>1</v>
      </c>
      <c r="C114" s="2">
        <f>C110</f>
        <v>7676</v>
      </c>
      <c r="D114" s="26">
        <v>0.03</v>
      </c>
      <c r="E114" s="64">
        <f t="shared" si="14"/>
        <v>0.23028</v>
      </c>
      <c r="F114" s="64">
        <f>M5</f>
        <v>36.833130328867234</v>
      </c>
      <c r="G114" s="54">
        <f>E114*F114*1.42*1.15*1.302</f>
        <v>18.03399809495152</v>
      </c>
      <c r="H114" s="11"/>
      <c r="J114"/>
      <c r="K114" s="20"/>
      <c r="L114" s="20"/>
      <c r="M114" s="21"/>
      <c r="N114"/>
      <c r="O114"/>
    </row>
    <row r="115" spans="1:8" ht="13.5" thickBot="1">
      <c r="A115" s="9" t="s">
        <v>11</v>
      </c>
      <c r="B115" s="10" t="s">
        <v>42</v>
      </c>
      <c r="C115" s="10" t="s">
        <v>0</v>
      </c>
      <c r="D115" s="10" t="s">
        <v>1</v>
      </c>
      <c r="E115" s="10" t="s">
        <v>43</v>
      </c>
      <c r="F115" s="10" t="s">
        <v>47</v>
      </c>
      <c r="G115" s="12" t="s">
        <v>145</v>
      </c>
      <c r="H115" s="12"/>
    </row>
    <row r="116" spans="1:15" ht="15.75" thickBot="1">
      <c r="A116" s="4" t="s">
        <v>29</v>
      </c>
      <c r="B116" s="26" t="s">
        <v>44</v>
      </c>
      <c r="C116" s="2">
        <f>C110</f>
        <v>7676</v>
      </c>
      <c r="D116" s="5">
        <v>3.73</v>
      </c>
      <c r="E116" s="64">
        <f t="shared" si="14"/>
        <v>28.63148</v>
      </c>
      <c r="F116" s="78">
        <v>936</v>
      </c>
      <c r="G116" s="54">
        <f>E116*F116</f>
        <v>26799.06528</v>
      </c>
      <c r="H116" s="2"/>
      <c r="J116"/>
      <c r="K116" s="20"/>
      <c r="L116" s="20"/>
      <c r="M116" s="21"/>
      <c r="N116"/>
      <c r="O116"/>
    </row>
    <row r="117" spans="1:15" ht="13.5" thickBot="1">
      <c r="A117" s="4" t="s">
        <v>144</v>
      </c>
      <c r="B117" s="26" t="s">
        <v>30</v>
      </c>
      <c r="C117" s="2">
        <f>C110</f>
        <v>7676</v>
      </c>
      <c r="D117" s="5">
        <v>0.02</v>
      </c>
      <c r="E117" s="64">
        <f t="shared" si="14"/>
        <v>0.15352000000000002</v>
      </c>
      <c r="F117" s="78">
        <v>12000</v>
      </c>
      <c r="G117" s="54">
        <f>E117*F117</f>
        <v>1842.2400000000002</v>
      </c>
      <c r="H117" s="2"/>
      <c r="J117"/>
      <c r="K117" s="20"/>
      <c r="L117" s="20"/>
      <c r="M117" s="21"/>
      <c r="N117"/>
      <c r="O117"/>
    </row>
    <row r="118" spans="1:15" ht="13.5" thickBot="1">
      <c r="A118" s="4" t="s">
        <v>209</v>
      </c>
      <c r="B118" s="26"/>
      <c r="C118" s="2"/>
      <c r="D118" s="5"/>
      <c r="E118" s="64"/>
      <c r="F118" s="78"/>
      <c r="G118" s="54">
        <f>(E110+E111+E112+E113+E114)*спецодежда!G14</f>
        <v>3.2457262329078023</v>
      </c>
      <c r="H118" s="2"/>
      <c r="J118"/>
      <c r="K118" s="20"/>
      <c r="L118" s="20"/>
      <c r="M118" s="21"/>
      <c r="N118"/>
      <c r="O118"/>
    </row>
    <row r="119" spans="1:15" ht="15">
      <c r="A119" s="9" t="s">
        <v>48</v>
      </c>
      <c r="B119" s="10"/>
      <c r="C119" s="10"/>
      <c r="D119" s="10"/>
      <c r="E119" s="10"/>
      <c r="F119" s="10"/>
      <c r="G119" s="66">
        <f>G110+G111+G112+G113+G114+G116+G117+G118</f>
        <v>28853.384704172448</v>
      </c>
      <c r="H119" s="41">
        <f>G119/B5/12</f>
        <v>0.31324240820058674</v>
      </c>
      <c r="J119"/>
      <c r="N119"/>
      <c r="O119"/>
    </row>
    <row r="121" spans="1:8" ht="50.25" customHeight="1">
      <c r="A121" s="167" t="s">
        <v>247</v>
      </c>
      <c r="B121" s="168"/>
      <c r="C121" s="169" t="s">
        <v>31</v>
      </c>
      <c r="D121" s="170"/>
      <c r="E121" s="170"/>
      <c r="F121" s="170"/>
      <c r="G121" s="170"/>
      <c r="H121" s="170"/>
    </row>
    <row r="122" spans="1:8" ht="91.5" customHeight="1" thickBot="1">
      <c r="A122" s="13" t="s">
        <v>3</v>
      </c>
      <c r="B122" s="13" t="s">
        <v>4</v>
      </c>
      <c r="C122" s="13" t="s">
        <v>0</v>
      </c>
      <c r="D122" s="13" t="s">
        <v>1</v>
      </c>
      <c r="E122" s="13" t="s">
        <v>5</v>
      </c>
      <c r="F122" s="14" t="s">
        <v>46</v>
      </c>
      <c r="G122" s="14" t="s">
        <v>225</v>
      </c>
      <c r="H122" s="14" t="s">
        <v>49</v>
      </c>
    </row>
    <row r="123" spans="1:15" ht="13.5" thickBot="1">
      <c r="A123" s="3" t="s">
        <v>32</v>
      </c>
      <c r="B123" s="59">
        <v>4</v>
      </c>
      <c r="C123" s="2">
        <f>B5</f>
        <v>7676</v>
      </c>
      <c r="D123" s="26">
        <v>2.52</v>
      </c>
      <c r="E123" s="64">
        <f>C123*D123/1000</f>
        <v>19.34352</v>
      </c>
      <c r="F123" s="64">
        <f>M8</f>
        <v>70.35127892813641</v>
      </c>
      <c r="G123" s="54">
        <f>E123*F123*1.42*1.15*1.302</f>
        <v>2893.374654354022</v>
      </c>
      <c r="H123" s="11"/>
      <c r="J123"/>
      <c r="K123" s="20"/>
      <c r="L123" s="20"/>
      <c r="M123" s="21"/>
      <c r="N123"/>
      <c r="O123"/>
    </row>
    <row r="124" spans="1:8" ht="13.5" thickBot="1">
      <c r="A124" s="9" t="s">
        <v>11</v>
      </c>
      <c r="B124" s="10" t="s">
        <v>42</v>
      </c>
      <c r="C124" s="10" t="s">
        <v>0</v>
      </c>
      <c r="D124" s="10" t="s">
        <v>1</v>
      </c>
      <c r="E124" s="10" t="s">
        <v>43</v>
      </c>
      <c r="F124" s="10" t="s">
        <v>47</v>
      </c>
      <c r="G124" s="12" t="s">
        <v>145</v>
      </c>
      <c r="H124" s="12"/>
    </row>
    <row r="125" spans="1:15" ht="15.75" thickBot="1">
      <c r="A125" s="4" t="s">
        <v>33</v>
      </c>
      <c r="B125" s="26" t="s">
        <v>45</v>
      </c>
      <c r="C125" s="2">
        <f>C123</f>
        <v>7676</v>
      </c>
      <c r="D125" s="5">
        <v>4.7</v>
      </c>
      <c r="E125" s="64">
        <f>C125*D125/1000</f>
        <v>36.077200000000005</v>
      </c>
      <c r="F125" s="78">
        <v>140</v>
      </c>
      <c r="G125" s="54">
        <f>E125*F125</f>
        <v>5050.808000000001</v>
      </c>
      <c r="H125" s="2"/>
      <c r="J125"/>
      <c r="K125" s="20"/>
      <c r="L125" s="20"/>
      <c r="M125" s="21"/>
      <c r="N125"/>
      <c r="O125"/>
    </row>
    <row r="126" spans="1:15" ht="13.5" thickBot="1">
      <c r="A126" s="4" t="s">
        <v>34</v>
      </c>
      <c r="B126" s="26" t="s">
        <v>36</v>
      </c>
      <c r="C126" s="2">
        <f>C123</f>
        <v>7676</v>
      </c>
      <c r="D126" s="5">
        <v>0.98</v>
      </c>
      <c r="E126" s="64">
        <f>C126*D126/1000</f>
        <v>7.52248</v>
      </c>
      <c r="F126" s="78">
        <v>24.25</v>
      </c>
      <c r="G126" s="54">
        <f>E126*F126</f>
        <v>182.42014</v>
      </c>
      <c r="H126" s="2"/>
      <c r="J126"/>
      <c r="K126" s="20"/>
      <c r="L126" s="20"/>
      <c r="M126" s="21"/>
      <c r="N126"/>
      <c r="O126"/>
    </row>
    <row r="127" spans="1:15" ht="13.5" thickBot="1">
      <c r="A127" s="4" t="s">
        <v>35</v>
      </c>
      <c r="B127" s="26" t="s">
        <v>37</v>
      </c>
      <c r="C127" s="2">
        <f>C123</f>
        <v>7676</v>
      </c>
      <c r="D127" s="5">
        <v>19.66</v>
      </c>
      <c r="E127" s="64">
        <f>C127*D127/1000</f>
        <v>150.91016</v>
      </c>
      <c r="F127" s="78">
        <v>15</v>
      </c>
      <c r="G127" s="54">
        <f>E127*F127</f>
        <v>2263.6524</v>
      </c>
      <c r="H127" s="2"/>
      <c r="J127"/>
      <c r="K127" s="20"/>
      <c r="L127" s="20"/>
      <c r="M127" s="21"/>
      <c r="N127"/>
      <c r="O127"/>
    </row>
    <row r="128" spans="1:15" ht="13.5" thickBot="1">
      <c r="A128" s="4" t="s">
        <v>209</v>
      </c>
      <c r="B128" s="26"/>
      <c r="C128" s="2"/>
      <c r="D128" s="5"/>
      <c r="E128" s="64"/>
      <c r="F128" s="78"/>
      <c r="G128" s="54">
        <f>E123*спецодежда!G14</f>
        <v>34.08012544553193</v>
      </c>
      <c r="H128" s="2"/>
      <c r="J128"/>
      <c r="K128" s="20"/>
      <c r="L128" s="20"/>
      <c r="M128" s="21"/>
      <c r="N128"/>
      <c r="O128"/>
    </row>
    <row r="129" spans="1:15" ht="15">
      <c r="A129" s="9" t="s">
        <v>48</v>
      </c>
      <c r="B129" s="10"/>
      <c r="C129" s="10"/>
      <c r="D129" s="10"/>
      <c r="E129" s="10"/>
      <c r="F129" s="10"/>
      <c r="G129" s="66">
        <f>G123+G125+G126+G127+G128</f>
        <v>10424.335319799557</v>
      </c>
      <c r="H129" s="41">
        <f>G129/B5/12</f>
        <v>0.11317022016457744</v>
      </c>
      <c r="J129"/>
      <c r="N129"/>
      <c r="O129"/>
    </row>
    <row r="131" spans="1:8" ht="130.5" customHeight="1">
      <c r="A131" s="167" t="s">
        <v>248</v>
      </c>
      <c r="B131" s="168"/>
      <c r="C131" s="169" t="s">
        <v>38</v>
      </c>
      <c r="D131" s="170"/>
      <c r="E131" s="170"/>
      <c r="F131" s="170"/>
      <c r="G131" s="170"/>
      <c r="H131" s="170"/>
    </row>
    <row r="132" spans="1:8" ht="91.5" customHeight="1" thickBot="1">
      <c r="A132" s="13" t="s">
        <v>3</v>
      </c>
      <c r="B132" s="13" t="s">
        <v>4</v>
      </c>
      <c r="C132" s="13" t="s">
        <v>0</v>
      </c>
      <c r="D132" s="13" t="s">
        <v>1</v>
      </c>
      <c r="E132" s="13" t="s">
        <v>5</v>
      </c>
      <c r="F132" s="14" t="s">
        <v>46</v>
      </c>
      <c r="G132" s="14" t="s">
        <v>225</v>
      </c>
      <c r="H132" s="14" t="s">
        <v>49</v>
      </c>
    </row>
    <row r="133" spans="1:15" ht="13.5" thickBot="1">
      <c r="A133" s="3" t="s">
        <v>63</v>
      </c>
      <c r="B133" s="59">
        <v>3</v>
      </c>
      <c r="C133" s="2">
        <f>B5</f>
        <v>7676</v>
      </c>
      <c r="D133" s="26">
        <v>2.04</v>
      </c>
      <c r="E133" s="64">
        <f aca="true" t="shared" si="15" ref="E133:E143">C133*D133/1000</f>
        <v>15.659040000000001</v>
      </c>
      <c r="F133" s="64">
        <f>M7</f>
        <v>62.24799025578562</v>
      </c>
      <c r="G133" s="54">
        <f>E133*F133*1.24*1.15*1.302</f>
        <v>1809.7599688232872</v>
      </c>
      <c r="H133" s="11"/>
      <c r="J133"/>
      <c r="K133" s="20"/>
      <c r="L133" s="20"/>
      <c r="M133" s="21"/>
      <c r="N133"/>
      <c r="O133"/>
    </row>
    <row r="134" spans="1:15" ht="13.5" thickBot="1">
      <c r="A134" s="3" t="s">
        <v>64</v>
      </c>
      <c r="B134" s="59">
        <v>3</v>
      </c>
      <c r="C134" s="2">
        <f>C133</f>
        <v>7676</v>
      </c>
      <c r="D134" s="26">
        <v>0.58</v>
      </c>
      <c r="E134" s="64">
        <f t="shared" si="15"/>
        <v>4.45208</v>
      </c>
      <c r="F134" s="64">
        <f>M7</f>
        <v>62.24799025578562</v>
      </c>
      <c r="G134" s="54">
        <f>E134*F134*1.42*1.15*1.302</f>
        <v>589.2308310890493</v>
      </c>
      <c r="H134" s="11"/>
      <c r="J134"/>
      <c r="K134" s="20"/>
      <c r="L134" s="20"/>
      <c r="M134" s="21"/>
      <c r="N134"/>
      <c r="O134"/>
    </row>
    <row r="135" spans="1:15" ht="13.5" thickBot="1">
      <c r="A135" s="3" t="s">
        <v>65</v>
      </c>
      <c r="B135" s="59">
        <v>3</v>
      </c>
      <c r="C135" s="2">
        <f>C133</f>
        <v>7676</v>
      </c>
      <c r="D135" s="26">
        <v>0.16</v>
      </c>
      <c r="E135" s="64">
        <f t="shared" si="15"/>
        <v>1.2281600000000001</v>
      </c>
      <c r="F135" s="64">
        <f>M7</f>
        <v>62.24799025578562</v>
      </c>
      <c r="G135" s="54">
        <f>E135*F135*1.42*1.15*1.302</f>
        <v>162.5464361624964</v>
      </c>
      <c r="H135" s="11"/>
      <c r="J135"/>
      <c r="K135" s="20"/>
      <c r="L135" s="20"/>
      <c r="M135" s="21"/>
      <c r="N135"/>
      <c r="O135"/>
    </row>
    <row r="136" spans="1:8" ht="13.5" thickBot="1">
      <c r="A136" s="9" t="s">
        <v>11</v>
      </c>
      <c r="B136" s="10" t="s">
        <v>42</v>
      </c>
      <c r="C136" s="10" t="s">
        <v>0</v>
      </c>
      <c r="D136" s="10" t="s">
        <v>1</v>
      </c>
      <c r="E136" s="10" t="s">
        <v>43</v>
      </c>
      <c r="F136" s="10" t="s">
        <v>47</v>
      </c>
      <c r="G136" s="12" t="s">
        <v>145</v>
      </c>
      <c r="H136" s="12"/>
    </row>
    <row r="137" spans="1:15" ht="13.5" thickBot="1">
      <c r="A137" s="4" t="s">
        <v>66</v>
      </c>
      <c r="B137" s="26" t="s">
        <v>69</v>
      </c>
      <c r="C137" s="2">
        <f>C133</f>
        <v>7676</v>
      </c>
      <c r="D137" s="5">
        <v>0.09</v>
      </c>
      <c r="E137" s="64">
        <f t="shared" si="15"/>
        <v>0.6908399999999999</v>
      </c>
      <c r="F137" s="78">
        <v>53.35</v>
      </c>
      <c r="G137" s="54">
        <f>E137*F137</f>
        <v>36.856314</v>
      </c>
      <c r="H137" s="2"/>
      <c r="J137"/>
      <c r="K137" s="20"/>
      <c r="L137" s="20"/>
      <c r="M137" s="21"/>
      <c r="N137"/>
      <c r="O137"/>
    </row>
    <row r="138" spans="1:15" ht="13.5" thickBot="1">
      <c r="A138" s="4" t="s">
        <v>67</v>
      </c>
      <c r="B138" s="26" t="s">
        <v>62</v>
      </c>
      <c r="C138" s="2">
        <f>C133</f>
        <v>7676</v>
      </c>
      <c r="D138" s="5">
        <v>0.2</v>
      </c>
      <c r="E138" s="64">
        <f t="shared" si="15"/>
        <v>1.5352000000000001</v>
      </c>
      <c r="F138" s="78">
        <v>24.25</v>
      </c>
      <c r="G138" s="54">
        <f aca="true" t="shared" si="16" ref="G138:G143">E138*F138</f>
        <v>37.2286</v>
      </c>
      <c r="H138" s="2"/>
      <c r="J138"/>
      <c r="K138" s="20"/>
      <c r="L138" s="20"/>
      <c r="M138" s="21"/>
      <c r="N138"/>
      <c r="O138"/>
    </row>
    <row r="139" spans="1:15" ht="13.5" thickBot="1">
      <c r="A139" s="4" t="s">
        <v>68</v>
      </c>
      <c r="B139" s="26" t="s">
        <v>62</v>
      </c>
      <c r="C139" s="2">
        <f>C133</f>
        <v>7676</v>
      </c>
      <c r="D139" s="5">
        <v>0.16</v>
      </c>
      <c r="E139" s="64">
        <f t="shared" si="15"/>
        <v>1.2281600000000001</v>
      </c>
      <c r="F139" s="78">
        <v>50.4</v>
      </c>
      <c r="G139" s="54">
        <f t="shared" si="16"/>
        <v>61.899264</v>
      </c>
      <c r="H139" s="2"/>
      <c r="J139"/>
      <c r="K139" s="20"/>
      <c r="L139" s="20"/>
      <c r="M139" s="21"/>
      <c r="N139"/>
      <c r="O139"/>
    </row>
    <row r="140" spans="1:15" ht="13.5" thickBot="1">
      <c r="A140" s="4" t="s">
        <v>226</v>
      </c>
      <c r="B140" s="26" t="s">
        <v>36</v>
      </c>
      <c r="C140" s="2">
        <f>C133</f>
        <v>7676</v>
      </c>
      <c r="D140" s="5">
        <v>0.091</v>
      </c>
      <c r="E140" s="64">
        <f t="shared" si="15"/>
        <v>0.6985159999999999</v>
      </c>
      <c r="F140" s="78">
        <v>130.95</v>
      </c>
      <c r="G140" s="54">
        <f t="shared" si="16"/>
        <v>91.47067019999999</v>
      </c>
      <c r="H140" s="2"/>
      <c r="J140"/>
      <c r="K140" s="20"/>
      <c r="L140" s="20"/>
      <c r="M140" s="21"/>
      <c r="N140"/>
      <c r="O140"/>
    </row>
    <row r="141" spans="1:15" ht="13.5" thickBot="1">
      <c r="A141" s="4" t="s">
        <v>70</v>
      </c>
      <c r="B141" s="26" t="s">
        <v>73</v>
      </c>
      <c r="C141" s="2">
        <f>C133</f>
        <v>7676</v>
      </c>
      <c r="D141" s="5">
        <v>0.026</v>
      </c>
      <c r="E141" s="64">
        <f t="shared" si="15"/>
        <v>0.199576</v>
      </c>
      <c r="F141" s="78">
        <v>111.55</v>
      </c>
      <c r="G141" s="54">
        <f t="shared" si="16"/>
        <v>22.2627028</v>
      </c>
      <c r="H141" s="2"/>
      <c r="J141"/>
      <c r="K141" s="20"/>
      <c r="L141" s="20"/>
      <c r="M141" s="21"/>
      <c r="N141"/>
      <c r="O141"/>
    </row>
    <row r="142" spans="1:15" ht="13.5" thickBot="1">
      <c r="A142" s="4" t="s">
        <v>71</v>
      </c>
      <c r="B142" s="26" t="s">
        <v>36</v>
      </c>
      <c r="C142" s="2">
        <f>C133</f>
        <v>7676</v>
      </c>
      <c r="D142" s="5">
        <v>0.009</v>
      </c>
      <c r="E142" s="64">
        <f t="shared" si="15"/>
        <v>0.06908399999999999</v>
      </c>
      <c r="F142" s="78">
        <v>159.08</v>
      </c>
      <c r="G142" s="54">
        <f t="shared" si="16"/>
        <v>10.989882719999999</v>
      </c>
      <c r="H142" s="2"/>
      <c r="J142"/>
      <c r="K142" s="20"/>
      <c r="L142" s="20"/>
      <c r="M142" s="21"/>
      <c r="N142"/>
      <c r="O142"/>
    </row>
    <row r="143" spans="1:15" ht="13.5" thickBot="1">
      <c r="A143" s="4" t="s">
        <v>72</v>
      </c>
      <c r="B143" s="26" t="s">
        <v>36</v>
      </c>
      <c r="C143" s="2">
        <f>C133</f>
        <v>7676</v>
      </c>
      <c r="D143" s="5">
        <v>0.02</v>
      </c>
      <c r="E143" s="64">
        <f t="shared" si="15"/>
        <v>0.15352000000000002</v>
      </c>
      <c r="F143" s="78">
        <v>140</v>
      </c>
      <c r="G143" s="54">
        <f t="shared" si="16"/>
        <v>21.492800000000003</v>
      </c>
      <c r="H143" s="2"/>
      <c r="J143"/>
      <c r="K143" s="20"/>
      <c r="L143" s="20"/>
      <c r="M143" s="21"/>
      <c r="N143"/>
      <c r="O143"/>
    </row>
    <row r="144" spans="1:15" ht="13.5" thickBot="1">
      <c r="A144" s="4" t="s">
        <v>209</v>
      </c>
      <c r="B144" s="26"/>
      <c r="C144" s="2"/>
      <c r="D144" s="5"/>
      <c r="E144" s="64"/>
      <c r="F144" s="78"/>
      <c r="G144" s="54">
        <f>(E133+E134)*спецодежда!G14+'9 эт.'!E135*спецодежда!G83</f>
        <v>39.30743317782869</v>
      </c>
      <c r="H144" s="2"/>
      <c r="J144"/>
      <c r="K144" s="20"/>
      <c r="L144" s="20"/>
      <c r="M144" s="21"/>
      <c r="N144"/>
      <c r="O144"/>
    </row>
    <row r="145" spans="1:15" ht="15">
      <c r="A145" s="9" t="s">
        <v>48</v>
      </c>
      <c r="B145" s="10"/>
      <c r="C145" s="10"/>
      <c r="D145" s="10"/>
      <c r="E145" s="10"/>
      <c r="F145" s="10"/>
      <c r="G145" s="66">
        <f>G133+G134+G135+G137+G138+G139+G140+G141+G142+G143+G144</f>
        <v>2883.044902972662</v>
      </c>
      <c r="H145" s="41">
        <f>G145/B5/12</f>
        <v>0.031299341051900534</v>
      </c>
      <c r="J145"/>
      <c r="N145"/>
      <c r="O145"/>
    </row>
    <row r="146" spans="1:16" s="31" customFormat="1" ht="12.75">
      <c r="A146" s="27"/>
      <c r="B146" s="28"/>
      <c r="C146" s="28"/>
      <c r="D146" s="28"/>
      <c r="E146" s="28"/>
      <c r="F146" s="28"/>
      <c r="G146" s="29"/>
      <c r="H146" s="29"/>
      <c r="I146" s="30"/>
      <c r="J146" s="30"/>
      <c r="K146" s="1"/>
      <c r="L146" s="1"/>
      <c r="M146" s="1"/>
      <c r="N146" s="30"/>
      <c r="O146" s="30"/>
      <c r="P146" s="30"/>
    </row>
    <row r="147" spans="1:8" ht="42" customHeight="1">
      <c r="A147" s="167" t="s">
        <v>228</v>
      </c>
      <c r="B147" s="168"/>
      <c r="C147" s="169" t="s">
        <v>262</v>
      </c>
      <c r="D147" s="170"/>
      <c r="E147" s="170"/>
      <c r="F147" s="170"/>
      <c r="G147" s="170"/>
      <c r="H147" s="170"/>
    </row>
    <row r="148" spans="1:8" ht="91.5" customHeight="1" thickBot="1">
      <c r="A148" s="13" t="s">
        <v>3</v>
      </c>
      <c r="B148" s="13" t="s">
        <v>4</v>
      </c>
      <c r="C148" s="13" t="s">
        <v>0</v>
      </c>
      <c r="D148" s="13" t="s">
        <v>1</v>
      </c>
      <c r="E148" s="13" t="s">
        <v>5</v>
      </c>
      <c r="F148" s="14" t="s">
        <v>46</v>
      </c>
      <c r="G148" s="14" t="s">
        <v>225</v>
      </c>
      <c r="H148" s="14" t="s">
        <v>49</v>
      </c>
    </row>
    <row r="149" spans="1:15" ht="13.5" thickBot="1">
      <c r="A149" s="3" t="s">
        <v>105</v>
      </c>
      <c r="B149" s="59">
        <v>3</v>
      </c>
      <c r="C149" s="2">
        <f>B5</f>
        <v>7676</v>
      </c>
      <c r="D149" s="26">
        <v>0.18</v>
      </c>
      <c r="E149" s="64">
        <f>C149*D149/1000</f>
        <v>1.3816799999999998</v>
      </c>
      <c r="F149" s="64">
        <f>M7</f>
        <v>62.24799025578562</v>
      </c>
      <c r="G149" s="54">
        <f>E149*F149*1.42*1.15*1.302</f>
        <v>182.86474068280842</v>
      </c>
      <c r="H149" s="11"/>
      <c r="J149"/>
      <c r="K149" s="20"/>
      <c r="L149" s="20"/>
      <c r="M149" s="21"/>
      <c r="N149"/>
      <c r="O149"/>
    </row>
    <row r="150" spans="1:15" ht="13.5" thickBot="1">
      <c r="A150" s="3" t="s">
        <v>106</v>
      </c>
      <c r="B150" s="59">
        <v>3</v>
      </c>
      <c r="C150" s="2">
        <f>B5</f>
        <v>7676</v>
      </c>
      <c r="D150" s="26">
        <v>0.08</v>
      </c>
      <c r="E150" s="64">
        <f>C150*D150/1000</f>
        <v>0.6140800000000001</v>
      </c>
      <c r="F150" s="64">
        <f>M7</f>
        <v>62.24799025578562</v>
      </c>
      <c r="G150" s="54">
        <f>E150*F150*1.42*1.15*1.302</f>
        <v>81.2732180812482</v>
      </c>
      <c r="H150" s="11"/>
      <c r="J150"/>
      <c r="K150" s="20"/>
      <c r="L150" s="20"/>
      <c r="M150" s="21"/>
      <c r="N150"/>
      <c r="O150"/>
    </row>
    <row r="151" spans="1:8" ht="13.5" thickBot="1">
      <c r="A151" s="9" t="s">
        <v>11</v>
      </c>
      <c r="B151" s="10" t="s">
        <v>42</v>
      </c>
      <c r="C151" s="10" t="s">
        <v>0</v>
      </c>
      <c r="D151" s="10" t="s">
        <v>1</v>
      </c>
      <c r="E151" s="10" t="s">
        <v>43</v>
      </c>
      <c r="F151" s="10" t="s">
        <v>47</v>
      </c>
      <c r="G151" s="12" t="s">
        <v>145</v>
      </c>
      <c r="H151" s="12"/>
    </row>
    <row r="152" spans="1:15" ht="15" thickBot="1">
      <c r="A152" s="4" t="s">
        <v>107</v>
      </c>
      <c r="B152" s="26" t="s">
        <v>102</v>
      </c>
      <c r="C152" s="2">
        <f>C149</f>
        <v>7676</v>
      </c>
      <c r="D152" s="5">
        <v>0.002</v>
      </c>
      <c r="E152" s="64">
        <f>C152*D152/1000</f>
        <v>0.015352000000000001</v>
      </c>
      <c r="F152" s="78">
        <v>3100</v>
      </c>
      <c r="G152" s="54">
        <f>E152*F152</f>
        <v>47.5912</v>
      </c>
      <c r="H152" s="2"/>
      <c r="J152"/>
      <c r="K152" s="20"/>
      <c r="L152" s="20"/>
      <c r="M152" s="21"/>
      <c r="N152"/>
      <c r="O152"/>
    </row>
    <row r="153" spans="1:15" ht="13.5" thickBot="1">
      <c r="A153" s="4" t="s">
        <v>108</v>
      </c>
      <c r="B153" s="26" t="s">
        <v>36</v>
      </c>
      <c r="C153" s="2">
        <f>C149</f>
        <v>7676</v>
      </c>
      <c r="D153" s="5">
        <v>0.043</v>
      </c>
      <c r="E153" s="64">
        <f>C153*D153/1000</f>
        <v>0.330068</v>
      </c>
      <c r="F153" s="78">
        <v>130</v>
      </c>
      <c r="G153" s="54">
        <f>E153*F153</f>
        <v>42.90884</v>
      </c>
      <c r="H153" s="2"/>
      <c r="J153"/>
      <c r="K153" s="20"/>
      <c r="L153" s="20"/>
      <c r="M153" s="21"/>
      <c r="N153"/>
      <c r="O153"/>
    </row>
    <row r="154" spans="1:15" ht="13.5" thickBot="1">
      <c r="A154" s="4" t="s">
        <v>209</v>
      </c>
      <c r="B154" s="26"/>
      <c r="C154" s="2"/>
      <c r="D154" s="5"/>
      <c r="E154" s="64"/>
      <c r="F154" s="78"/>
      <c r="G154" s="54">
        <f>(E149+E150)*спецодежда!G83</f>
        <v>6.29674792811759</v>
      </c>
      <c r="H154" s="2"/>
      <c r="J154"/>
      <c r="K154" s="20"/>
      <c r="L154" s="20"/>
      <c r="M154" s="21"/>
      <c r="N154"/>
      <c r="O154"/>
    </row>
    <row r="155" spans="1:15" ht="15">
      <c r="A155" s="9" t="s">
        <v>48</v>
      </c>
      <c r="B155" s="10"/>
      <c r="C155" s="10"/>
      <c r="D155" s="10"/>
      <c r="E155" s="10"/>
      <c r="F155" s="10"/>
      <c r="G155" s="66">
        <f>G149+G150+G152+G153+G154</f>
        <v>360.93474669217426</v>
      </c>
      <c r="H155" s="41">
        <f>G155/B5</f>
        <v>0.04702120201826137</v>
      </c>
      <c r="J155"/>
      <c r="N155"/>
      <c r="O155"/>
    </row>
    <row r="156" spans="1:16" s="31" customFormat="1" ht="12.75">
      <c r="A156" s="27"/>
      <c r="B156" s="28"/>
      <c r="C156" s="28"/>
      <c r="D156" s="28"/>
      <c r="E156" s="28"/>
      <c r="F156" s="28"/>
      <c r="G156" s="29"/>
      <c r="H156" s="29"/>
      <c r="I156" s="30"/>
      <c r="J156" s="30"/>
      <c r="K156" s="1"/>
      <c r="L156" s="1"/>
      <c r="M156" s="1"/>
      <c r="N156" s="30"/>
      <c r="O156" s="30"/>
      <c r="P156" s="30"/>
    </row>
    <row r="157" spans="1:8" ht="45" customHeight="1">
      <c r="A157" s="167" t="s">
        <v>249</v>
      </c>
      <c r="B157" s="168"/>
      <c r="C157" s="175" t="s">
        <v>230</v>
      </c>
      <c r="D157" s="176"/>
      <c r="E157" s="176"/>
      <c r="F157" s="176"/>
      <c r="G157" s="176"/>
      <c r="H157" s="176"/>
    </row>
    <row r="158" spans="1:8" ht="91.5" customHeight="1" thickBot="1">
      <c r="A158" s="13" t="s">
        <v>3</v>
      </c>
      <c r="B158" s="13" t="s">
        <v>4</v>
      </c>
      <c r="C158" s="13" t="s">
        <v>0</v>
      </c>
      <c r="D158" s="13" t="s">
        <v>1</v>
      </c>
      <c r="E158" s="13" t="s">
        <v>5</v>
      </c>
      <c r="F158" s="14" t="s">
        <v>46</v>
      </c>
      <c r="G158" s="14" t="s">
        <v>225</v>
      </c>
      <c r="H158" s="14" t="s">
        <v>49</v>
      </c>
    </row>
    <row r="159" spans="1:15" ht="13.5" thickBot="1">
      <c r="A159" s="3" t="s">
        <v>25</v>
      </c>
      <c r="B159" s="59">
        <v>4</v>
      </c>
      <c r="C159" s="2">
        <f>B5</f>
        <v>7676</v>
      </c>
      <c r="D159" s="26">
        <f>53.5*2.8</f>
        <v>149.79999999999998</v>
      </c>
      <c r="E159" s="64">
        <f aca="true" t="shared" si="17" ref="E159:E188">C159*D159/1000</f>
        <v>1149.8647999999998</v>
      </c>
      <c r="F159" s="64">
        <f>M8</f>
        <v>70.35127892813641</v>
      </c>
      <c r="G159" s="54">
        <f>E159*F159*1.42*1.15*1.302</f>
        <v>171995.04889771127</v>
      </c>
      <c r="H159" s="11"/>
      <c r="J159"/>
      <c r="K159" s="20"/>
      <c r="L159" s="20"/>
      <c r="M159" s="21"/>
      <c r="N159"/>
      <c r="O159"/>
    </row>
    <row r="160" spans="1:15" ht="13.5" thickBot="1">
      <c r="A160" s="3" t="s">
        <v>74</v>
      </c>
      <c r="B160" s="59">
        <v>2</v>
      </c>
      <c r="C160" s="2">
        <f>C159</f>
        <v>7676</v>
      </c>
      <c r="D160" s="26">
        <f>5.6*2.8</f>
        <v>15.679999999999998</v>
      </c>
      <c r="E160" s="64">
        <f t="shared" si="17"/>
        <v>120.35967999999998</v>
      </c>
      <c r="F160" s="64">
        <f>M6</f>
        <v>47.88306942752741</v>
      </c>
      <c r="G160" s="54">
        <f>E160*F160*1.42*1.15*1.302</f>
        <v>12253.500572249726</v>
      </c>
      <c r="H160" s="11"/>
      <c r="J160"/>
      <c r="K160" s="20"/>
      <c r="L160" s="20"/>
      <c r="M160" s="21"/>
      <c r="N160"/>
      <c r="O160"/>
    </row>
    <row r="161" spans="1:8" ht="13.5" thickBot="1">
      <c r="A161" s="9" t="s">
        <v>11</v>
      </c>
      <c r="B161" s="10" t="s">
        <v>42</v>
      </c>
      <c r="C161" s="10" t="s">
        <v>0</v>
      </c>
      <c r="D161" s="10" t="s">
        <v>1</v>
      </c>
      <c r="E161" s="10" t="s">
        <v>43</v>
      </c>
      <c r="F161" s="10" t="s">
        <v>47</v>
      </c>
      <c r="G161" s="12" t="s">
        <v>145</v>
      </c>
      <c r="H161" s="12"/>
    </row>
    <row r="162" spans="1:15" ht="13.5" thickBot="1">
      <c r="A162" s="4" t="s">
        <v>75</v>
      </c>
      <c r="B162" s="26" t="s">
        <v>37</v>
      </c>
      <c r="C162" s="2">
        <f aca="true" t="shared" si="18" ref="C162:C188">$C$159</f>
        <v>7676</v>
      </c>
      <c r="D162" s="5">
        <v>3.33</v>
      </c>
      <c r="E162" s="64">
        <f t="shared" si="17"/>
        <v>25.56108</v>
      </c>
      <c r="F162" s="78">
        <v>46</v>
      </c>
      <c r="G162" s="54">
        <f aca="true" t="shared" si="19" ref="G162:G188">E162*F162</f>
        <v>1175.80968</v>
      </c>
      <c r="H162" s="2"/>
      <c r="J162"/>
      <c r="K162" s="20"/>
      <c r="L162" s="20"/>
      <c r="M162" s="21"/>
      <c r="N162"/>
      <c r="O162"/>
    </row>
    <row r="163" spans="1:15" ht="13.5" thickBot="1">
      <c r="A163" s="4" t="s">
        <v>76</v>
      </c>
      <c r="B163" s="26" t="s">
        <v>62</v>
      </c>
      <c r="C163" s="2">
        <f t="shared" si="18"/>
        <v>7676</v>
      </c>
      <c r="D163" s="5">
        <v>1.89</v>
      </c>
      <c r="E163" s="64">
        <f t="shared" si="17"/>
        <v>14.507639999999999</v>
      </c>
      <c r="F163" s="78">
        <v>101</v>
      </c>
      <c r="G163" s="54">
        <f t="shared" si="19"/>
        <v>1465.27164</v>
      </c>
      <c r="H163" s="2"/>
      <c r="J163"/>
      <c r="K163" s="20"/>
      <c r="L163" s="20"/>
      <c r="M163" s="21"/>
      <c r="N163"/>
      <c r="O163"/>
    </row>
    <row r="164" spans="1:15" ht="13.5" thickBot="1">
      <c r="A164" s="4" t="s">
        <v>77</v>
      </c>
      <c r="B164" s="26" t="s">
        <v>36</v>
      </c>
      <c r="C164" s="2">
        <f t="shared" si="18"/>
        <v>7676</v>
      </c>
      <c r="D164" s="5">
        <v>0.1</v>
      </c>
      <c r="E164" s="64">
        <f t="shared" si="17"/>
        <v>0.7676000000000001</v>
      </c>
      <c r="F164" s="78">
        <v>33.95</v>
      </c>
      <c r="G164" s="54">
        <f t="shared" si="19"/>
        <v>26.060020000000005</v>
      </c>
      <c r="H164" s="2"/>
      <c r="J164"/>
      <c r="K164" s="20"/>
      <c r="L164" s="20"/>
      <c r="M164" s="21"/>
      <c r="N164"/>
      <c r="O164"/>
    </row>
    <row r="165" spans="1:15" ht="13.5" thickBot="1">
      <c r="A165" s="4" t="s">
        <v>78</v>
      </c>
      <c r="B165" s="26" t="s">
        <v>36</v>
      </c>
      <c r="C165" s="2">
        <f t="shared" si="18"/>
        <v>7676</v>
      </c>
      <c r="D165" s="5">
        <v>0.04</v>
      </c>
      <c r="E165" s="64">
        <f t="shared" si="17"/>
        <v>0.30704000000000004</v>
      </c>
      <c r="F165" s="78">
        <v>15.48</v>
      </c>
      <c r="G165" s="54">
        <f t="shared" si="19"/>
        <v>4.7529792</v>
      </c>
      <c r="H165" s="2"/>
      <c r="J165"/>
      <c r="K165" s="20"/>
      <c r="L165" s="20"/>
      <c r="M165" s="21"/>
      <c r="N165"/>
      <c r="O165"/>
    </row>
    <row r="166" spans="1:15" ht="13.5" thickBot="1">
      <c r="A166" s="4" t="s">
        <v>79</v>
      </c>
      <c r="B166" s="26" t="s">
        <v>36</v>
      </c>
      <c r="C166" s="2">
        <f t="shared" si="18"/>
        <v>7676</v>
      </c>
      <c r="D166" s="5">
        <v>0.05</v>
      </c>
      <c r="E166" s="64">
        <f t="shared" si="17"/>
        <v>0.38380000000000003</v>
      </c>
      <c r="F166" s="78">
        <v>128.5</v>
      </c>
      <c r="G166" s="54">
        <f t="shared" si="19"/>
        <v>49.3183</v>
      </c>
      <c r="H166" s="2"/>
      <c r="J166"/>
      <c r="K166" s="20"/>
      <c r="L166" s="20"/>
      <c r="M166" s="21"/>
      <c r="N166"/>
      <c r="O166"/>
    </row>
    <row r="167" spans="1:15" ht="13.5" thickBot="1">
      <c r="A167" s="4" t="s">
        <v>80</v>
      </c>
      <c r="B167" s="26" t="s">
        <v>36</v>
      </c>
      <c r="C167" s="2">
        <f t="shared" si="18"/>
        <v>7676</v>
      </c>
      <c r="D167" s="5">
        <v>1.09</v>
      </c>
      <c r="E167" s="64">
        <f t="shared" si="17"/>
        <v>8.36684</v>
      </c>
      <c r="F167" s="78">
        <v>400.2</v>
      </c>
      <c r="G167" s="54">
        <f t="shared" si="19"/>
        <v>3348.4093679999996</v>
      </c>
      <c r="H167" s="2"/>
      <c r="J167"/>
      <c r="K167" s="20"/>
      <c r="L167" s="20"/>
      <c r="M167" s="21"/>
      <c r="N167"/>
      <c r="O167"/>
    </row>
    <row r="168" spans="1:15" ht="13.5" thickBot="1">
      <c r="A168" s="4" t="s">
        <v>81</v>
      </c>
      <c r="B168" s="26" t="s">
        <v>36</v>
      </c>
      <c r="C168" s="2">
        <f t="shared" si="18"/>
        <v>7676</v>
      </c>
      <c r="D168" s="5">
        <v>0.02</v>
      </c>
      <c r="E168" s="64">
        <f t="shared" si="17"/>
        <v>0.15352000000000002</v>
      </c>
      <c r="F168" s="78">
        <v>51</v>
      </c>
      <c r="G168" s="54">
        <f t="shared" si="19"/>
        <v>7.8295200000000005</v>
      </c>
      <c r="H168" s="2"/>
      <c r="J168"/>
      <c r="K168" s="20"/>
      <c r="L168" s="20"/>
      <c r="M168" s="21"/>
      <c r="N168"/>
      <c r="O168"/>
    </row>
    <row r="169" spans="1:15" ht="13.5" thickBot="1">
      <c r="A169" s="4" t="s">
        <v>82</v>
      </c>
      <c r="B169" s="26" t="s">
        <v>62</v>
      </c>
      <c r="C169" s="2">
        <f t="shared" si="18"/>
        <v>7676</v>
      </c>
      <c r="D169" s="5">
        <v>0.36</v>
      </c>
      <c r="E169" s="64">
        <f t="shared" si="17"/>
        <v>2.7633599999999996</v>
      </c>
      <c r="F169" s="78">
        <v>12000</v>
      </c>
      <c r="G169" s="54">
        <f t="shared" si="19"/>
        <v>33160.31999999999</v>
      </c>
      <c r="H169" s="2"/>
      <c r="J169"/>
      <c r="K169" s="20"/>
      <c r="L169" s="20"/>
      <c r="M169" s="21"/>
      <c r="N169"/>
      <c r="O169"/>
    </row>
    <row r="170" spans="1:15" ht="13.5" thickBot="1">
      <c r="A170" s="4" t="s">
        <v>83</v>
      </c>
      <c r="B170" s="26" t="s">
        <v>36</v>
      </c>
      <c r="C170" s="2">
        <f t="shared" si="18"/>
        <v>7676</v>
      </c>
      <c r="D170" s="5">
        <v>0.95</v>
      </c>
      <c r="E170" s="64">
        <f t="shared" si="17"/>
        <v>7.2922</v>
      </c>
      <c r="F170" s="78">
        <v>82.45</v>
      </c>
      <c r="G170" s="54">
        <f t="shared" si="19"/>
        <v>601.24189</v>
      </c>
      <c r="H170" s="2"/>
      <c r="J170"/>
      <c r="K170" s="20"/>
      <c r="L170" s="20"/>
      <c r="M170" s="21"/>
      <c r="N170"/>
      <c r="O170"/>
    </row>
    <row r="171" spans="1:15" ht="15" thickBot="1">
      <c r="A171" s="4" t="s">
        <v>84</v>
      </c>
      <c r="B171" s="26" t="s">
        <v>102</v>
      </c>
      <c r="C171" s="2">
        <f t="shared" si="18"/>
        <v>7676</v>
      </c>
      <c r="D171" s="5">
        <v>1.627</v>
      </c>
      <c r="E171" s="64">
        <f t="shared" si="17"/>
        <v>12.488852000000001</v>
      </c>
      <c r="F171" s="78">
        <v>2200</v>
      </c>
      <c r="G171" s="54">
        <f t="shared" si="19"/>
        <v>27475.474400000003</v>
      </c>
      <c r="H171" s="2"/>
      <c r="J171"/>
      <c r="K171" s="20"/>
      <c r="L171" s="20"/>
      <c r="M171" s="21"/>
      <c r="N171"/>
      <c r="O171"/>
    </row>
    <row r="172" spans="1:15" ht="15" thickBot="1">
      <c r="A172" s="4" t="s">
        <v>85</v>
      </c>
      <c r="B172" s="26" t="s">
        <v>102</v>
      </c>
      <c r="C172" s="2">
        <f t="shared" si="18"/>
        <v>7676</v>
      </c>
      <c r="D172" s="5">
        <v>0.0048</v>
      </c>
      <c r="E172" s="64">
        <f t="shared" si="17"/>
        <v>0.0368448</v>
      </c>
      <c r="F172" s="78">
        <v>575</v>
      </c>
      <c r="G172" s="54">
        <f t="shared" si="19"/>
        <v>21.18576</v>
      </c>
      <c r="H172" s="2"/>
      <c r="J172"/>
      <c r="K172" s="20"/>
      <c r="L172" s="20"/>
      <c r="M172" s="21"/>
      <c r="N172"/>
      <c r="O172"/>
    </row>
    <row r="173" spans="1:15" ht="13.5" thickBot="1">
      <c r="A173" s="4" t="s">
        <v>86</v>
      </c>
      <c r="B173" s="26" t="s">
        <v>62</v>
      </c>
      <c r="C173" s="2">
        <f t="shared" si="18"/>
        <v>7676</v>
      </c>
      <c r="D173" s="5">
        <v>0.58</v>
      </c>
      <c r="E173" s="64">
        <f t="shared" si="17"/>
        <v>4.45208</v>
      </c>
      <c r="F173" s="78">
        <v>24.25</v>
      </c>
      <c r="G173" s="54">
        <f t="shared" si="19"/>
        <v>107.96293999999999</v>
      </c>
      <c r="H173" s="2"/>
      <c r="J173"/>
      <c r="K173" s="20"/>
      <c r="L173" s="20"/>
      <c r="M173" s="21"/>
      <c r="N173"/>
      <c r="O173"/>
    </row>
    <row r="174" spans="1:15" ht="15" thickBot="1">
      <c r="A174" s="4" t="s">
        <v>87</v>
      </c>
      <c r="B174" s="26" t="s">
        <v>102</v>
      </c>
      <c r="C174" s="2">
        <f t="shared" si="18"/>
        <v>7676</v>
      </c>
      <c r="D174" s="5">
        <v>0.18</v>
      </c>
      <c r="E174" s="64">
        <f t="shared" si="17"/>
        <v>1.3816799999999998</v>
      </c>
      <c r="F174" s="78">
        <v>15.4</v>
      </c>
      <c r="G174" s="54">
        <f t="shared" si="19"/>
        <v>21.277872</v>
      </c>
      <c r="H174" s="2"/>
      <c r="J174"/>
      <c r="K174" s="20"/>
      <c r="L174" s="20"/>
      <c r="M174" s="21"/>
      <c r="N174"/>
      <c r="O174"/>
    </row>
    <row r="175" spans="1:15" ht="27" thickBot="1">
      <c r="A175" s="4" t="s">
        <v>88</v>
      </c>
      <c r="B175" s="26" t="s">
        <v>36</v>
      </c>
      <c r="C175" s="2">
        <f t="shared" si="18"/>
        <v>7676</v>
      </c>
      <c r="D175" s="5">
        <v>4.14</v>
      </c>
      <c r="E175" s="64">
        <f t="shared" si="17"/>
        <v>31.778639999999996</v>
      </c>
      <c r="F175" s="78">
        <v>116.4</v>
      </c>
      <c r="G175" s="54">
        <f t="shared" si="19"/>
        <v>3699.0336959999995</v>
      </c>
      <c r="H175" s="2"/>
      <c r="J175"/>
      <c r="K175" s="20"/>
      <c r="L175" s="20"/>
      <c r="M175" s="21"/>
      <c r="N175"/>
      <c r="O175"/>
    </row>
    <row r="176" spans="1:15" ht="15" thickBot="1">
      <c r="A176" s="4" t="s">
        <v>89</v>
      </c>
      <c r="B176" s="26" t="s">
        <v>102</v>
      </c>
      <c r="C176" s="2">
        <f t="shared" si="18"/>
        <v>7676</v>
      </c>
      <c r="D176" s="5">
        <v>3.02</v>
      </c>
      <c r="E176" s="64">
        <f t="shared" si="17"/>
        <v>23.18152</v>
      </c>
      <c r="F176" s="78">
        <v>2581</v>
      </c>
      <c r="G176" s="54">
        <f t="shared" si="19"/>
        <v>59831.503119999994</v>
      </c>
      <c r="H176" s="2"/>
      <c r="J176"/>
      <c r="K176" s="20"/>
      <c r="L176" s="20"/>
      <c r="M176" s="21"/>
      <c r="N176"/>
      <c r="O176"/>
    </row>
    <row r="177" spans="1:15" ht="13.5" thickBot="1">
      <c r="A177" s="4" t="s">
        <v>90</v>
      </c>
      <c r="B177" s="26" t="s">
        <v>36</v>
      </c>
      <c r="C177" s="2">
        <f t="shared" si="18"/>
        <v>7676</v>
      </c>
      <c r="D177" s="5">
        <v>0.03</v>
      </c>
      <c r="E177" s="64">
        <f t="shared" si="17"/>
        <v>0.23028</v>
      </c>
      <c r="F177" s="78">
        <v>150.95</v>
      </c>
      <c r="G177" s="54">
        <f t="shared" si="19"/>
        <v>34.760766</v>
      </c>
      <c r="H177" s="2"/>
      <c r="J177"/>
      <c r="K177" s="20"/>
      <c r="L177" s="20"/>
      <c r="M177" s="21"/>
      <c r="N177"/>
      <c r="O177"/>
    </row>
    <row r="178" spans="1:15" ht="13.5" thickBot="1">
      <c r="A178" s="4" t="s">
        <v>91</v>
      </c>
      <c r="B178" s="26" t="s">
        <v>36</v>
      </c>
      <c r="C178" s="2">
        <f t="shared" si="18"/>
        <v>7676</v>
      </c>
      <c r="D178" s="5">
        <v>0.04</v>
      </c>
      <c r="E178" s="64">
        <f t="shared" si="17"/>
        <v>0.30704000000000004</v>
      </c>
      <c r="F178" s="78">
        <v>125.41</v>
      </c>
      <c r="G178" s="54">
        <f t="shared" si="19"/>
        <v>38.5058864</v>
      </c>
      <c r="H178" s="2"/>
      <c r="J178"/>
      <c r="K178" s="20"/>
      <c r="L178" s="20"/>
      <c r="M178" s="21"/>
      <c r="N178"/>
      <c r="O178"/>
    </row>
    <row r="179" spans="1:15" ht="13.5" thickBot="1">
      <c r="A179" s="4" t="s">
        <v>92</v>
      </c>
      <c r="B179" s="26" t="s">
        <v>62</v>
      </c>
      <c r="C179" s="2">
        <f t="shared" si="18"/>
        <v>7676</v>
      </c>
      <c r="D179" s="5">
        <v>1.08</v>
      </c>
      <c r="E179" s="64">
        <f t="shared" si="17"/>
        <v>8.29008</v>
      </c>
      <c r="F179" s="78">
        <v>2.26</v>
      </c>
      <c r="G179" s="54">
        <f t="shared" si="19"/>
        <v>18.735580799999997</v>
      </c>
      <c r="H179" s="2"/>
      <c r="J179"/>
      <c r="K179" s="20"/>
      <c r="L179" s="20"/>
      <c r="M179" s="21"/>
      <c r="N179"/>
      <c r="O179"/>
    </row>
    <row r="180" spans="1:15" ht="13.5" thickBot="1">
      <c r="A180" s="4" t="s">
        <v>93</v>
      </c>
      <c r="B180" s="26" t="s">
        <v>36</v>
      </c>
      <c r="C180" s="2">
        <f t="shared" si="18"/>
        <v>7676</v>
      </c>
      <c r="D180" s="5">
        <v>0.52</v>
      </c>
      <c r="E180" s="64">
        <f t="shared" si="17"/>
        <v>3.99152</v>
      </c>
      <c r="F180" s="78">
        <v>140</v>
      </c>
      <c r="G180" s="54">
        <f t="shared" si="19"/>
        <v>558.8128</v>
      </c>
      <c r="H180" s="2"/>
      <c r="J180"/>
      <c r="K180" s="20"/>
      <c r="L180" s="20"/>
      <c r="M180" s="21"/>
      <c r="N180"/>
      <c r="O180"/>
    </row>
    <row r="181" spans="1:15" ht="13.5" thickBot="1">
      <c r="A181" s="4" t="s">
        <v>94</v>
      </c>
      <c r="B181" s="26" t="s">
        <v>36</v>
      </c>
      <c r="C181" s="2">
        <f t="shared" si="18"/>
        <v>7676</v>
      </c>
      <c r="D181" s="5">
        <v>0.01</v>
      </c>
      <c r="E181" s="64">
        <f t="shared" si="17"/>
        <v>0.07676000000000001</v>
      </c>
      <c r="F181" s="78">
        <v>489</v>
      </c>
      <c r="G181" s="54">
        <f t="shared" si="19"/>
        <v>37.53564</v>
      </c>
      <c r="H181" s="2"/>
      <c r="J181"/>
      <c r="K181" s="20"/>
      <c r="L181" s="20"/>
      <c r="M181" s="21"/>
      <c r="N181"/>
      <c r="O181"/>
    </row>
    <row r="182" spans="1:15" ht="13.5" thickBot="1">
      <c r="A182" s="4" t="s">
        <v>95</v>
      </c>
      <c r="B182" s="26" t="s">
        <v>62</v>
      </c>
      <c r="C182" s="2">
        <f t="shared" si="18"/>
        <v>7676</v>
      </c>
      <c r="D182" s="5">
        <v>1.9</v>
      </c>
      <c r="E182" s="64">
        <f t="shared" si="17"/>
        <v>14.5844</v>
      </c>
      <c r="F182" s="78">
        <v>145.5</v>
      </c>
      <c r="G182" s="54">
        <f t="shared" si="19"/>
        <v>2122.0302</v>
      </c>
      <c r="H182" s="2"/>
      <c r="J182"/>
      <c r="K182" s="20"/>
      <c r="L182" s="20"/>
      <c r="M182" s="21"/>
      <c r="N182"/>
      <c r="O182"/>
    </row>
    <row r="183" spans="1:15" ht="13.5" thickBot="1">
      <c r="A183" s="4" t="s">
        <v>96</v>
      </c>
      <c r="B183" s="26" t="s">
        <v>62</v>
      </c>
      <c r="C183" s="2">
        <f t="shared" si="18"/>
        <v>7676</v>
      </c>
      <c r="D183" s="5">
        <v>2.1</v>
      </c>
      <c r="E183" s="64">
        <f t="shared" si="17"/>
        <v>16.119600000000002</v>
      </c>
      <c r="F183" s="78">
        <v>121.5</v>
      </c>
      <c r="G183" s="54">
        <f t="shared" si="19"/>
        <v>1958.5314000000003</v>
      </c>
      <c r="H183" s="2"/>
      <c r="J183"/>
      <c r="K183" s="20"/>
      <c r="L183" s="20"/>
      <c r="M183" s="21"/>
      <c r="N183"/>
      <c r="O183"/>
    </row>
    <row r="184" spans="1:15" ht="13.5" thickBot="1">
      <c r="A184" s="4" t="s">
        <v>97</v>
      </c>
      <c r="B184" s="26" t="s">
        <v>62</v>
      </c>
      <c r="C184" s="2">
        <f t="shared" si="18"/>
        <v>7676</v>
      </c>
      <c r="D184" s="5">
        <v>2.1</v>
      </c>
      <c r="E184" s="64">
        <f t="shared" si="17"/>
        <v>16.119600000000002</v>
      </c>
      <c r="F184" s="78">
        <v>53.77</v>
      </c>
      <c r="G184" s="54">
        <f t="shared" si="19"/>
        <v>866.7508920000001</v>
      </c>
      <c r="H184" s="2"/>
      <c r="J184"/>
      <c r="K184" s="20"/>
      <c r="L184" s="20"/>
      <c r="M184" s="21"/>
      <c r="N184"/>
      <c r="O184"/>
    </row>
    <row r="185" spans="1:15" ht="13.5" thickBot="1">
      <c r="A185" s="4" t="s">
        <v>98</v>
      </c>
      <c r="B185" s="26" t="s">
        <v>36</v>
      </c>
      <c r="C185" s="2">
        <f t="shared" si="18"/>
        <v>7676</v>
      </c>
      <c r="D185" s="5">
        <v>0.88</v>
      </c>
      <c r="E185" s="64">
        <f t="shared" si="17"/>
        <v>6.75488</v>
      </c>
      <c r="F185" s="78">
        <v>48.17</v>
      </c>
      <c r="G185" s="54">
        <f t="shared" si="19"/>
        <v>325.3825696</v>
      </c>
      <c r="H185" s="2"/>
      <c r="J185"/>
      <c r="K185" s="20"/>
      <c r="L185" s="20"/>
      <c r="M185" s="21"/>
      <c r="N185"/>
      <c r="O185"/>
    </row>
    <row r="186" spans="1:15" ht="13.5" thickBot="1">
      <c r="A186" s="4" t="s">
        <v>99</v>
      </c>
      <c r="B186" s="26" t="s">
        <v>36</v>
      </c>
      <c r="C186" s="2">
        <f t="shared" si="18"/>
        <v>7676</v>
      </c>
      <c r="D186" s="5">
        <v>6.29</v>
      </c>
      <c r="E186" s="64">
        <f t="shared" si="17"/>
        <v>48.28204</v>
      </c>
      <c r="F186" s="78">
        <v>50</v>
      </c>
      <c r="G186" s="54">
        <f t="shared" si="19"/>
        <v>2414.1020000000003</v>
      </c>
      <c r="H186" s="2"/>
      <c r="J186"/>
      <c r="K186" s="20"/>
      <c r="L186" s="20"/>
      <c r="M186" s="21"/>
      <c r="N186"/>
      <c r="O186"/>
    </row>
    <row r="187" spans="1:15" ht="13.5" thickBot="1">
      <c r="A187" s="4" t="s">
        <v>100</v>
      </c>
      <c r="B187" s="26" t="s">
        <v>36</v>
      </c>
      <c r="C187" s="2">
        <f t="shared" si="18"/>
        <v>7676</v>
      </c>
      <c r="D187" s="5">
        <v>0.15</v>
      </c>
      <c r="E187" s="64">
        <f t="shared" si="17"/>
        <v>1.1513999999999998</v>
      </c>
      <c r="F187" s="78">
        <v>94.11</v>
      </c>
      <c r="G187" s="54">
        <f t="shared" si="19"/>
        <v>108.35825399999997</v>
      </c>
      <c r="H187" s="2"/>
      <c r="J187"/>
      <c r="K187" s="20"/>
      <c r="L187" s="20"/>
      <c r="M187" s="21"/>
      <c r="N187"/>
      <c r="O187"/>
    </row>
    <row r="188" spans="1:15" ht="13.5" thickBot="1">
      <c r="A188" s="4" t="s">
        <v>101</v>
      </c>
      <c r="B188" s="26" t="s">
        <v>36</v>
      </c>
      <c r="C188" s="2">
        <f t="shared" si="18"/>
        <v>7676</v>
      </c>
      <c r="D188" s="5">
        <v>0.33</v>
      </c>
      <c r="E188" s="64">
        <f t="shared" si="17"/>
        <v>2.53308</v>
      </c>
      <c r="F188" s="78">
        <v>56.64</v>
      </c>
      <c r="G188" s="54">
        <f t="shared" si="19"/>
        <v>143.4736512</v>
      </c>
      <c r="H188" s="2"/>
      <c r="J188"/>
      <c r="K188" s="20"/>
      <c r="L188" s="20"/>
      <c r="M188" s="21"/>
      <c r="N188"/>
      <c r="O188"/>
    </row>
    <row r="189" spans="1:15" ht="13.5" thickBot="1">
      <c r="A189" s="4" t="s">
        <v>209</v>
      </c>
      <c r="B189" s="26"/>
      <c r="C189" s="2"/>
      <c r="D189" s="5"/>
      <c r="E189" s="64"/>
      <c r="F189" s="78"/>
      <c r="G189" s="54">
        <f>(E159+E160)*спецодежда!G35</f>
        <v>2180.006661394239</v>
      </c>
      <c r="H189" s="2"/>
      <c r="J189"/>
      <c r="K189" s="20"/>
      <c r="L189" s="20"/>
      <c r="M189" s="21"/>
      <c r="N189"/>
      <c r="O189"/>
    </row>
    <row r="190" spans="1:15" ht="15">
      <c r="A190" s="9" t="s">
        <v>48</v>
      </c>
      <c r="B190" s="10"/>
      <c r="C190" s="10"/>
      <c r="D190" s="10"/>
      <c r="E190" s="10"/>
      <c r="F190" s="10"/>
      <c r="G190" s="66">
        <f>SUM(G159:G160,G162:G189)</f>
        <v>326050.9869565553</v>
      </c>
      <c r="H190" s="41">
        <f>G190/B5/12</f>
        <v>3.5397232386285746</v>
      </c>
      <c r="J190"/>
      <c r="N190"/>
      <c r="O190"/>
    </row>
    <row r="192" spans="1:8" ht="74.25" customHeight="1">
      <c r="A192" s="167" t="s">
        <v>250</v>
      </c>
      <c r="B192" s="168"/>
      <c r="C192" s="169" t="s">
        <v>234</v>
      </c>
      <c r="D192" s="170"/>
      <c r="E192" s="170"/>
      <c r="F192" s="170"/>
      <c r="G192" s="170"/>
      <c r="H192" s="170"/>
    </row>
    <row r="193" spans="1:8" ht="91.5" customHeight="1" thickBot="1">
      <c r="A193" s="13" t="s">
        <v>3</v>
      </c>
      <c r="B193" s="13" t="s">
        <v>4</v>
      </c>
      <c r="C193" s="13" t="s">
        <v>0</v>
      </c>
      <c r="D193" s="13" t="s">
        <v>1</v>
      </c>
      <c r="E193" s="13" t="s">
        <v>5</v>
      </c>
      <c r="F193" s="14" t="s">
        <v>46</v>
      </c>
      <c r="G193" s="14" t="s">
        <v>225</v>
      </c>
      <c r="H193" s="14" t="s">
        <v>49</v>
      </c>
    </row>
    <row r="194" spans="1:15" ht="39.75" thickBot="1">
      <c r="A194" s="3" t="s">
        <v>40</v>
      </c>
      <c r="B194" s="59">
        <v>3</v>
      </c>
      <c r="C194" s="2">
        <f>B5</f>
        <v>7676</v>
      </c>
      <c r="D194" s="26">
        <v>4.2</v>
      </c>
      <c r="E194" s="64">
        <f>C194*D194/1000</f>
        <v>32.239200000000004</v>
      </c>
      <c r="F194" s="64">
        <f>M7</f>
        <v>62.24799025578562</v>
      </c>
      <c r="G194" s="54">
        <f>E194*F194*1.42*1.15*1.302</f>
        <v>4266.84394926553</v>
      </c>
      <c r="H194" s="11"/>
      <c r="J194"/>
      <c r="K194" s="20"/>
      <c r="L194" s="20"/>
      <c r="M194" s="21"/>
      <c r="N194"/>
      <c r="O194"/>
    </row>
    <row r="195" spans="1:8" ht="13.5" thickBot="1">
      <c r="A195" s="9" t="s">
        <v>11</v>
      </c>
      <c r="B195" s="10" t="s">
        <v>42</v>
      </c>
      <c r="C195" s="10" t="s">
        <v>0</v>
      </c>
      <c r="D195" s="10" t="s">
        <v>1</v>
      </c>
      <c r="E195" s="10" t="s">
        <v>43</v>
      </c>
      <c r="F195" s="10" t="s">
        <v>47</v>
      </c>
      <c r="G195" s="12" t="s">
        <v>145</v>
      </c>
      <c r="H195" s="12"/>
    </row>
    <row r="196" spans="1:15" ht="13.5" thickBot="1">
      <c r="A196" s="4" t="s">
        <v>103</v>
      </c>
      <c r="B196" s="26" t="s">
        <v>30</v>
      </c>
      <c r="C196" s="2">
        <f>C194</f>
        <v>7676</v>
      </c>
      <c r="D196" s="5">
        <v>0.032</v>
      </c>
      <c r="E196" s="64">
        <f>C196*D196/1000</f>
        <v>0.24563200000000002</v>
      </c>
      <c r="F196" s="78">
        <v>3500</v>
      </c>
      <c r="G196" s="54">
        <f>E196*F196</f>
        <v>859.7120000000001</v>
      </c>
      <c r="H196" s="2"/>
      <c r="J196"/>
      <c r="K196" s="20"/>
      <c r="L196" s="20"/>
      <c r="M196" s="21"/>
      <c r="N196"/>
      <c r="O196"/>
    </row>
    <row r="197" spans="1:15" ht="27" thickBot="1">
      <c r="A197" s="4" t="s">
        <v>104</v>
      </c>
      <c r="B197" s="26" t="s">
        <v>102</v>
      </c>
      <c r="C197" s="2">
        <f>C194</f>
        <v>7676</v>
      </c>
      <c r="D197" s="5">
        <v>0.006</v>
      </c>
      <c r="E197" s="64">
        <f>C197*D197/1000</f>
        <v>0.04605600000000001</v>
      </c>
      <c r="F197" s="78">
        <v>2300</v>
      </c>
      <c r="G197" s="54">
        <f>E197*F197</f>
        <v>105.92880000000001</v>
      </c>
      <c r="H197" s="2"/>
      <c r="J197"/>
      <c r="K197" s="20"/>
      <c r="L197" s="20"/>
      <c r="M197" s="21"/>
      <c r="N197"/>
      <c r="O197"/>
    </row>
    <row r="198" spans="1:15" ht="13.5" thickBot="1">
      <c r="A198" s="4" t="s">
        <v>209</v>
      </c>
      <c r="B198" s="26"/>
      <c r="C198" s="2"/>
      <c r="D198" s="5"/>
      <c r="E198" s="64"/>
      <c r="F198" s="78"/>
      <c r="G198" s="54">
        <f>E194*спецодежда!G35</f>
        <v>55.33011830949847</v>
      </c>
      <c r="H198" s="2"/>
      <c r="J198"/>
      <c r="K198" s="20"/>
      <c r="L198" s="20"/>
      <c r="M198" s="21"/>
      <c r="N198"/>
      <c r="O198"/>
    </row>
    <row r="199" spans="1:15" ht="15">
      <c r="A199" s="9" t="s">
        <v>48</v>
      </c>
      <c r="B199" s="10"/>
      <c r="C199" s="10"/>
      <c r="D199" s="10"/>
      <c r="E199" s="10"/>
      <c r="F199" s="10"/>
      <c r="G199" s="66">
        <f>G194+G196+G197+G198</f>
        <v>5287.814867575028</v>
      </c>
      <c r="H199" s="41">
        <f>G199/B5/12</f>
        <v>0.05740636255401064</v>
      </c>
      <c r="J199"/>
      <c r="N199"/>
      <c r="O199"/>
    </row>
    <row r="201" spans="1:8" ht="51" customHeight="1">
      <c r="A201" s="167" t="s">
        <v>251</v>
      </c>
      <c r="B201" s="168"/>
      <c r="C201" s="169" t="s">
        <v>235</v>
      </c>
      <c r="D201" s="170"/>
      <c r="E201" s="170"/>
      <c r="F201" s="170"/>
      <c r="G201" s="170"/>
      <c r="H201" s="170"/>
    </row>
    <row r="202" spans="1:8" ht="91.5" customHeight="1" thickBot="1">
      <c r="A202" s="13" t="s">
        <v>3</v>
      </c>
      <c r="B202" s="13" t="s">
        <v>4</v>
      </c>
      <c r="C202" s="13" t="s">
        <v>0</v>
      </c>
      <c r="D202" s="13" t="s">
        <v>1</v>
      </c>
      <c r="E202" s="13" t="s">
        <v>5</v>
      </c>
      <c r="F202" s="14" t="s">
        <v>46</v>
      </c>
      <c r="G202" s="14" t="s">
        <v>225</v>
      </c>
      <c r="H202" s="14" t="s">
        <v>49</v>
      </c>
    </row>
    <row r="203" spans="1:15" ht="39.75" thickBot="1">
      <c r="A203" s="3" t="s">
        <v>227</v>
      </c>
      <c r="B203" s="59">
        <v>3</v>
      </c>
      <c r="C203" s="2">
        <f>B5</f>
        <v>7676</v>
      </c>
      <c r="D203" s="26">
        <v>22</v>
      </c>
      <c r="E203" s="64">
        <f>C203*D203/1000</f>
        <v>168.872</v>
      </c>
      <c r="F203" s="64">
        <f>M7</f>
        <v>62.24799025578562</v>
      </c>
      <c r="G203" s="54">
        <f>E203*F203*1.4*1.15*1.302</f>
        <v>22035.34433892997</v>
      </c>
      <c r="H203" s="11"/>
      <c r="J203"/>
      <c r="K203" s="20"/>
      <c r="L203" s="20"/>
      <c r="M203" s="21"/>
      <c r="N203"/>
      <c r="O203"/>
    </row>
    <row r="204" spans="1:8" ht="13.5" thickBot="1">
      <c r="A204" s="9" t="s">
        <v>11</v>
      </c>
      <c r="B204" s="10" t="s">
        <v>42</v>
      </c>
      <c r="C204" s="10" t="s">
        <v>0</v>
      </c>
      <c r="D204" s="10" t="s">
        <v>1</v>
      </c>
      <c r="E204" s="10" t="s">
        <v>43</v>
      </c>
      <c r="F204" s="10" t="s">
        <v>47</v>
      </c>
      <c r="G204" s="12" t="s">
        <v>145</v>
      </c>
      <c r="H204" s="12"/>
    </row>
    <row r="205" spans="1:15" ht="13.5" thickBot="1">
      <c r="A205" s="4" t="s">
        <v>109</v>
      </c>
      <c r="B205" s="26" t="s">
        <v>36</v>
      </c>
      <c r="C205" s="2">
        <f>C203</f>
        <v>7676</v>
      </c>
      <c r="D205" s="5">
        <v>0.013</v>
      </c>
      <c r="E205" s="64">
        <f>C205*D205/1000</f>
        <v>0.099788</v>
      </c>
      <c r="F205" s="78">
        <v>102</v>
      </c>
      <c r="G205" s="54">
        <f>E205*F205</f>
        <v>10.178376</v>
      </c>
      <c r="H205" s="2"/>
      <c r="J205"/>
      <c r="K205" s="20"/>
      <c r="L205" s="20"/>
      <c r="M205" s="21"/>
      <c r="N205"/>
      <c r="O205"/>
    </row>
    <row r="206" spans="1:15" ht="13.5" thickBot="1">
      <c r="A206" s="4" t="s">
        <v>110</v>
      </c>
      <c r="B206" s="26" t="s">
        <v>36</v>
      </c>
      <c r="C206" s="2">
        <f>C203</f>
        <v>7676</v>
      </c>
      <c r="D206" s="5">
        <v>0.315</v>
      </c>
      <c r="E206" s="64">
        <f>C206*D206/1000</f>
        <v>2.41794</v>
      </c>
      <c r="F206" s="78">
        <v>105</v>
      </c>
      <c r="G206" s="54">
        <f>E206*F206</f>
        <v>253.88370000000003</v>
      </c>
      <c r="H206" s="2"/>
      <c r="J206"/>
      <c r="K206" s="20"/>
      <c r="L206" s="20"/>
      <c r="M206" s="21"/>
      <c r="N206"/>
      <c r="O206"/>
    </row>
    <row r="207" spans="1:15" ht="13.5" thickBot="1">
      <c r="A207" s="4" t="s">
        <v>209</v>
      </c>
      <c r="B207" s="26"/>
      <c r="C207" s="2"/>
      <c r="D207" s="5"/>
      <c r="E207" s="64"/>
      <c r="F207" s="78"/>
      <c r="G207" s="54">
        <f>E203*спецодежда!G48</f>
        <v>641.0074801621929</v>
      </c>
      <c r="H207" s="2"/>
      <c r="J207"/>
      <c r="K207" s="20"/>
      <c r="L207" s="20"/>
      <c r="M207" s="21"/>
      <c r="N207"/>
      <c r="O207"/>
    </row>
    <row r="208" spans="1:15" ht="15">
      <c r="A208" s="9" t="s">
        <v>48</v>
      </c>
      <c r="B208" s="10"/>
      <c r="C208" s="10"/>
      <c r="D208" s="10"/>
      <c r="E208" s="10"/>
      <c r="F208" s="10"/>
      <c r="G208" s="66">
        <f>G203+G205+G206+G207</f>
        <v>22940.41389509216</v>
      </c>
      <c r="H208" s="41">
        <f>G208/B5/12</f>
        <v>0.24904913469572</v>
      </c>
      <c r="J208"/>
      <c r="N208"/>
      <c r="O208"/>
    </row>
    <row r="209" spans="1:4" ht="12.75">
      <c r="A209" s="36"/>
      <c r="B209" s="36"/>
      <c r="D209" s="36"/>
    </row>
    <row r="210" spans="1:8" ht="12.75">
      <c r="A210" s="173" t="s">
        <v>252</v>
      </c>
      <c r="B210" s="174"/>
      <c r="C210" s="174"/>
      <c r="D210" s="174"/>
      <c r="E210" s="174"/>
      <c r="F210" s="174"/>
      <c r="G210" s="174"/>
      <c r="H210" s="174"/>
    </row>
    <row r="211" spans="1:8" ht="28.5" customHeight="1">
      <c r="A211" s="97" t="s">
        <v>264</v>
      </c>
      <c r="B211" s="38"/>
      <c r="C211" s="38"/>
      <c r="D211" s="38"/>
      <c r="E211" s="38"/>
      <c r="F211" s="38"/>
      <c r="G211" s="38"/>
      <c r="H211" s="38"/>
    </row>
    <row r="212" spans="1:8" ht="26.25">
      <c r="A212" s="13" t="s">
        <v>263</v>
      </c>
      <c r="B212" s="10"/>
      <c r="C212" s="10"/>
      <c r="D212" s="10"/>
      <c r="E212" s="10"/>
      <c r="F212" s="10"/>
      <c r="G212" s="12"/>
      <c r="H212" s="96" t="s">
        <v>49</v>
      </c>
    </row>
    <row r="213" spans="1:8" ht="12.75">
      <c r="A213" s="32" t="s">
        <v>113</v>
      </c>
      <c r="B213" s="33"/>
      <c r="C213" s="33"/>
      <c r="D213" s="33"/>
      <c r="E213" s="35"/>
      <c r="F213" s="33"/>
      <c r="G213" s="34"/>
      <c r="H213" s="33">
        <v>1.46</v>
      </c>
    </row>
    <row r="214" spans="1:8" ht="12.75">
      <c r="A214" s="32" t="s">
        <v>114</v>
      </c>
      <c r="B214" s="33"/>
      <c r="C214" s="33"/>
      <c r="D214" s="33"/>
      <c r="E214" s="35"/>
      <c r="F214" s="33"/>
      <c r="G214" s="34"/>
      <c r="H214" s="33">
        <v>0.27</v>
      </c>
    </row>
    <row r="215" spans="1:8" ht="15">
      <c r="A215" s="9" t="s">
        <v>48</v>
      </c>
      <c r="B215" s="10"/>
      <c r="C215" s="10"/>
      <c r="D215" s="10"/>
      <c r="E215" s="10"/>
      <c r="F215" s="10"/>
      <c r="G215" s="12"/>
      <c r="H215" s="41">
        <f>H213+H214</f>
        <v>1.73</v>
      </c>
    </row>
    <row r="217" spans="1:8" ht="12.75">
      <c r="A217" s="173" t="s">
        <v>253</v>
      </c>
      <c r="B217" s="174"/>
      <c r="C217" s="174"/>
      <c r="D217" s="174"/>
      <c r="E217" s="174"/>
      <c r="F217" s="174"/>
      <c r="G217" s="174"/>
      <c r="H217" s="174"/>
    </row>
    <row r="218" spans="1:8" ht="25.5" customHeight="1">
      <c r="A218" s="40" t="s">
        <v>115</v>
      </c>
      <c r="B218" s="40"/>
      <c r="C218" s="40"/>
      <c r="D218" s="40"/>
      <c r="E218" s="40"/>
      <c r="F218" s="39"/>
      <c r="G218" s="39" t="s">
        <v>116</v>
      </c>
      <c r="H218" s="41">
        <f>314*73.14/7676</f>
        <v>2.9919176654507553</v>
      </c>
    </row>
    <row r="220" spans="1:8" ht="12.75">
      <c r="A220" s="173" t="s">
        <v>254</v>
      </c>
      <c r="B220" s="174"/>
      <c r="C220" s="174"/>
      <c r="D220" s="174"/>
      <c r="E220" s="174"/>
      <c r="F220" s="174"/>
      <c r="G220" s="174"/>
      <c r="H220" s="174"/>
    </row>
    <row r="221" spans="1:8" ht="12.75">
      <c r="A221" s="37"/>
      <c r="B221" s="38"/>
      <c r="C221" s="38"/>
      <c r="D221" s="38"/>
      <c r="E221" s="38"/>
      <c r="F221" s="38"/>
      <c r="G221" s="38"/>
      <c r="H221" s="38"/>
    </row>
    <row r="222" spans="1:8" ht="39.75" thickBot="1">
      <c r="A222" s="13" t="s">
        <v>139</v>
      </c>
      <c r="B222" s="13" t="s">
        <v>140</v>
      </c>
      <c r="C222" s="14" t="s">
        <v>141</v>
      </c>
      <c r="D222" s="14" t="s">
        <v>142</v>
      </c>
      <c r="E222" s="13"/>
      <c r="F222" s="14"/>
      <c r="G222" s="14" t="s">
        <v>143</v>
      </c>
      <c r="H222" s="14" t="s">
        <v>49</v>
      </c>
    </row>
    <row r="223" spans="1:15" ht="13.5" thickBot="1">
      <c r="A223" s="4" t="s">
        <v>117</v>
      </c>
      <c r="B223" s="26">
        <v>0.51</v>
      </c>
      <c r="C223" s="2">
        <f>B10</f>
        <v>1374</v>
      </c>
      <c r="D223" s="5">
        <v>2</v>
      </c>
      <c r="E223" s="64"/>
      <c r="F223" s="78"/>
      <c r="G223" s="54">
        <f>B223*C223*D223</f>
        <v>1401.48</v>
      </c>
      <c r="H223" s="2"/>
      <c r="J223"/>
      <c r="K223" s="20"/>
      <c r="L223" s="20"/>
      <c r="M223" s="21"/>
      <c r="N223"/>
      <c r="O223"/>
    </row>
    <row r="224" spans="1:15" ht="13.5" thickBot="1">
      <c r="A224" s="4" t="s">
        <v>118</v>
      </c>
      <c r="B224" s="26">
        <v>1.68</v>
      </c>
      <c r="C224" s="2">
        <f>C223</f>
        <v>1374</v>
      </c>
      <c r="D224" s="5">
        <v>2</v>
      </c>
      <c r="E224" s="64"/>
      <c r="F224" s="78"/>
      <c r="G224" s="54">
        <f>B224*C224*D224</f>
        <v>4616.639999999999</v>
      </c>
      <c r="H224" s="2"/>
      <c r="J224"/>
      <c r="K224" s="20"/>
      <c r="L224" s="20"/>
      <c r="M224" s="21"/>
      <c r="N224"/>
      <c r="O224"/>
    </row>
    <row r="225" spans="1:15" ht="15">
      <c r="A225" s="9" t="s">
        <v>48</v>
      </c>
      <c r="B225" s="10"/>
      <c r="C225" s="10"/>
      <c r="D225" s="10"/>
      <c r="E225" s="10"/>
      <c r="F225" s="10"/>
      <c r="G225" s="66">
        <f>G223+G224</f>
        <v>6018.119999999999</v>
      </c>
      <c r="H225" s="41">
        <f>G225/B5/12</f>
        <v>0.06533480979676913</v>
      </c>
      <c r="J225"/>
      <c r="N225"/>
      <c r="O225"/>
    </row>
    <row r="227" spans="1:8" ht="12.75">
      <c r="A227" s="173" t="s">
        <v>255</v>
      </c>
      <c r="B227" s="174"/>
      <c r="C227" s="174"/>
      <c r="D227" s="174"/>
      <c r="E227" s="174"/>
      <c r="F227" s="174"/>
      <c r="G227" s="174"/>
      <c r="H227" s="174"/>
    </row>
    <row r="228" spans="1:8" ht="15">
      <c r="A228" s="1" t="s">
        <v>205</v>
      </c>
      <c r="B228" s="40"/>
      <c r="C228" s="40"/>
      <c r="D228" s="40"/>
      <c r="E228" s="40"/>
      <c r="F228" s="39"/>
      <c r="G228" s="39" t="s">
        <v>116</v>
      </c>
      <c r="H228" s="41">
        <v>0.15</v>
      </c>
    </row>
    <row r="230" spans="1:8" ht="12.75">
      <c r="A230" s="173" t="s">
        <v>256</v>
      </c>
      <c r="B230" s="174"/>
      <c r="C230" s="174"/>
      <c r="D230" s="174"/>
      <c r="E230" s="174"/>
      <c r="F230" s="174"/>
      <c r="G230" s="174"/>
      <c r="H230" s="174"/>
    </row>
    <row r="232" spans="1:7" ht="13.5">
      <c r="A232" s="43" t="s">
        <v>119</v>
      </c>
      <c r="B232" s="44" t="s">
        <v>120</v>
      </c>
      <c r="C232" s="45" t="s">
        <v>121</v>
      </c>
      <c r="D232" s="44" t="s">
        <v>122</v>
      </c>
      <c r="E232" s="45" t="s">
        <v>123</v>
      </c>
      <c r="F232" s="44" t="s">
        <v>124</v>
      </c>
      <c r="G232" s="46" t="s">
        <v>134</v>
      </c>
    </row>
    <row r="233" spans="1:7" ht="13.5">
      <c r="A233" s="47"/>
      <c r="B233" s="48" t="s">
        <v>125</v>
      </c>
      <c r="C233" s="49"/>
      <c r="D233" s="50">
        <v>0.302</v>
      </c>
      <c r="E233" s="51"/>
      <c r="F233" s="48" t="s">
        <v>126</v>
      </c>
      <c r="G233" s="52"/>
    </row>
    <row r="234" spans="1:7" ht="12.75">
      <c r="A234" s="2" t="s">
        <v>127</v>
      </c>
      <c r="B234" s="11">
        <f>2/400000*$B$4</f>
        <v>0.05496</v>
      </c>
      <c r="C234" s="53">
        <v>40000</v>
      </c>
      <c r="D234" s="54">
        <f>SUM(C234*D233)</f>
        <v>12080</v>
      </c>
      <c r="E234" s="54">
        <f>SUM(C234:D234)</f>
        <v>52080</v>
      </c>
      <c r="F234" s="11">
        <f>SUM(E234*B234)</f>
        <v>2862.3168</v>
      </c>
      <c r="G234" s="55">
        <f>F234/$B$5</f>
        <v>0.37289171443460134</v>
      </c>
    </row>
    <row r="235" spans="1:7" ht="12.75">
      <c r="A235" s="2" t="s">
        <v>128</v>
      </c>
      <c r="B235" s="11">
        <f>2/400000*$B$4</f>
        <v>0.05496</v>
      </c>
      <c r="C235" s="53">
        <v>25000</v>
      </c>
      <c r="D235" s="54">
        <f>SUM(C235*D233)</f>
        <v>7550</v>
      </c>
      <c r="E235" s="54">
        <f aca="true" t="shared" si="20" ref="E235:E241">SUM(C235:D235)</f>
        <v>32550</v>
      </c>
      <c r="F235" s="11">
        <f aca="true" t="shared" si="21" ref="F235:F241">SUM(E235*B235)</f>
        <v>1788.948</v>
      </c>
      <c r="G235" s="55">
        <f aca="true" t="shared" si="22" ref="G235:G241">F235/$B$5</f>
        <v>0.23305732152162587</v>
      </c>
    </row>
    <row r="236" spans="1:7" ht="12.75">
      <c r="A236" s="2" t="s">
        <v>129</v>
      </c>
      <c r="B236" s="11">
        <f>2/400000*$B$4</f>
        <v>0.05496</v>
      </c>
      <c r="C236" s="53">
        <v>25000</v>
      </c>
      <c r="D236" s="54">
        <f>SUM(C236*D233)</f>
        <v>7550</v>
      </c>
      <c r="E236" s="54">
        <f t="shared" si="20"/>
        <v>32550</v>
      </c>
      <c r="F236" s="11">
        <f t="shared" si="21"/>
        <v>1788.948</v>
      </c>
      <c r="G236" s="55">
        <f t="shared" si="22"/>
        <v>0.23305732152162587</v>
      </c>
    </row>
    <row r="237" spans="1:7" ht="12.75">
      <c r="A237" s="2" t="s">
        <v>229</v>
      </c>
      <c r="B237" s="11">
        <f>2/400000*$B$4</f>
        <v>0.05496</v>
      </c>
      <c r="C237" s="53">
        <v>20000</v>
      </c>
      <c r="D237" s="54">
        <f>SUM(C237*D233)</f>
        <v>6040</v>
      </c>
      <c r="E237" s="54">
        <f t="shared" si="20"/>
        <v>26040</v>
      </c>
      <c r="F237" s="11">
        <f t="shared" si="21"/>
        <v>1431.1584</v>
      </c>
      <c r="G237" s="55">
        <f t="shared" si="22"/>
        <v>0.18644585721730067</v>
      </c>
    </row>
    <row r="238" spans="1:7" ht="12.75">
      <c r="A238" s="2" t="s">
        <v>130</v>
      </c>
      <c r="B238" s="11">
        <f>2/400000*$B$4</f>
        <v>0.05496</v>
      </c>
      <c r="C238" s="53">
        <v>20000</v>
      </c>
      <c r="D238" s="54">
        <f>SUM(C238*D233)</f>
        <v>6040</v>
      </c>
      <c r="E238" s="54">
        <f t="shared" si="20"/>
        <v>26040</v>
      </c>
      <c r="F238" s="11">
        <f>SUM(E238*B238)</f>
        <v>1431.1584</v>
      </c>
      <c r="G238" s="55">
        <f t="shared" si="22"/>
        <v>0.18644585721730067</v>
      </c>
    </row>
    <row r="239" spans="1:7" ht="12.75">
      <c r="A239" s="2" t="s">
        <v>131</v>
      </c>
      <c r="B239" s="42">
        <f>1/400000*$B$4</f>
        <v>0.02748</v>
      </c>
      <c r="C239" s="53">
        <v>20000</v>
      </c>
      <c r="D239" s="54">
        <f>SUM(C239*D233)</f>
        <v>6040</v>
      </c>
      <c r="E239" s="54">
        <f t="shared" si="20"/>
        <v>26040</v>
      </c>
      <c r="F239" s="11">
        <f t="shared" si="21"/>
        <v>715.5792</v>
      </c>
      <c r="G239" s="55">
        <f t="shared" si="22"/>
        <v>0.09322292860865034</v>
      </c>
    </row>
    <row r="240" spans="1:7" ht="12.75">
      <c r="A240" s="2" t="s">
        <v>132</v>
      </c>
      <c r="B240" s="11">
        <f>2/400000*$B$4</f>
        <v>0.05496</v>
      </c>
      <c r="C240" s="53">
        <v>20000</v>
      </c>
      <c r="D240" s="54">
        <f>SUM(C240*D233)</f>
        <v>6040</v>
      </c>
      <c r="E240" s="54">
        <f t="shared" si="20"/>
        <v>26040</v>
      </c>
      <c r="F240" s="11">
        <f t="shared" si="21"/>
        <v>1431.1584</v>
      </c>
      <c r="G240" s="55">
        <f t="shared" si="22"/>
        <v>0.18644585721730067</v>
      </c>
    </row>
    <row r="241" spans="1:7" ht="12.75">
      <c r="A241" s="2" t="s">
        <v>133</v>
      </c>
      <c r="B241" s="11">
        <f>1/400000*$B$4</f>
        <v>0.02748</v>
      </c>
      <c r="C241" s="53">
        <v>15000</v>
      </c>
      <c r="D241" s="54">
        <f>SUM(C241*D233)</f>
        <v>4530</v>
      </c>
      <c r="E241" s="54">
        <f t="shared" si="20"/>
        <v>19530</v>
      </c>
      <c r="F241" s="11">
        <f t="shared" si="21"/>
        <v>536.6844</v>
      </c>
      <c r="G241" s="55">
        <f t="shared" si="22"/>
        <v>0.06991719645648775</v>
      </c>
    </row>
    <row r="242" spans="1:7" ht="13.5">
      <c r="A242" s="56" t="s">
        <v>48</v>
      </c>
      <c r="B242" s="56">
        <f aca="true" t="shared" si="23" ref="B242:G242">SUM(B234:B241)</f>
        <v>0.38472</v>
      </c>
      <c r="C242" s="57">
        <f t="shared" si="23"/>
        <v>185000</v>
      </c>
      <c r="D242" s="57">
        <f t="shared" si="23"/>
        <v>55870</v>
      </c>
      <c r="E242" s="57">
        <f t="shared" si="23"/>
        <v>240870</v>
      </c>
      <c r="F242" s="57">
        <f t="shared" si="23"/>
        <v>11985.9516</v>
      </c>
      <c r="G242" s="58">
        <f t="shared" si="23"/>
        <v>1.5614840541948931</v>
      </c>
    </row>
    <row r="244" spans="1:6" ht="12.75">
      <c r="A244" s="2" t="s">
        <v>135</v>
      </c>
      <c r="B244" s="2"/>
      <c r="C244" s="2"/>
      <c r="D244" s="2"/>
      <c r="E244" s="53">
        <f>SUM(F242*30%)</f>
        <v>3595.78548</v>
      </c>
      <c r="F244" s="11">
        <f>E244/B5</f>
        <v>0.46844521625846797</v>
      </c>
    </row>
    <row r="245" spans="1:6" ht="57" customHeight="1">
      <c r="A245" s="3" t="s">
        <v>136</v>
      </c>
      <c r="B245" s="182" t="s">
        <v>138</v>
      </c>
      <c r="C245" s="182"/>
      <c r="D245" s="182"/>
      <c r="E245" s="60">
        <f>24.39*0.03*B5</f>
        <v>5616.5292</v>
      </c>
      <c r="F245" s="61">
        <f>E245/B5</f>
        <v>0.7317</v>
      </c>
    </row>
    <row r="246" spans="1:8" ht="15">
      <c r="A246" s="62" t="s">
        <v>137</v>
      </c>
      <c r="B246" s="2"/>
      <c r="C246" s="2"/>
      <c r="D246" s="2"/>
      <c r="E246" s="63">
        <f>SUM(E244:E245,F242)</f>
        <v>21198.26628</v>
      </c>
      <c r="H246" s="41">
        <f>G242+F244+F245</f>
        <v>2.761629270453361</v>
      </c>
    </row>
    <row r="248" spans="1:8" ht="12.75">
      <c r="A248" s="173" t="s">
        <v>257</v>
      </c>
      <c r="B248" s="174"/>
      <c r="C248" s="174"/>
      <c r="D248" s="174"/>
      <c r="E248" s="174"/>
      <c r="F248" s="174"/>
      <c r="G248" s="174"/>
      <c r="H248" s="174"/>
    </row>
    <row r="250" spans="1:8" ht="29.25" customHeight="1">
      <c r="A250" s="171" t="s">
        <v>223</v>
      </c>
      <c r="B250" s="180"/>
      <c r="C250" s="180"/>
      <c r="D250" s="180"/>
      <c r="E250" s="180"/>
      <c r="F250" s="180"/>
      <c r="G250" s="181"/>
      <c r="H250" s="41">
        <v>1.54</v>
      </c>
    </row>
    <row r="252" spans="1:8" ht="12.75">
      <c r="A252" s="173" t="s">
        <v>258</v>
      </c>
      <c r="B252" s="174"/>
      <c r="C252" s="174"/>
      <c r="D252" s="174"/>
      <c r="E252" s="174"/>
      <c r="F252" s="174"/>
      <c r="G252" s="174"/>
      <c r="H252" s="174"/>
    </row>
    <row r="254" spans="1:8" ht="38.25" customHeight="1">
      <c r="A254" s="171" t="s">
        <v>222</v>
      </c>
      <c r="B254" s="171"/>
      <c r="C254" s="171"/>
      <c r="D254" s="171"/>
      <c r="E254" s="171"/>
      <c r="F254" s="171"/>
      <c r="G254" s="172"/>
      <c r="H254" s="41">
        <v>6.72</v>
      </c>
    </row>
    <row r="257" ht="12.75">
      <c r="R257">
        <f>H254/24.39</f>
        <v>0.27552275522755226</v>
      </c>
    </row>
  </sheetData>
  <sheetProtection/>
  <mergeCells count="44">
    <mergeCell ref="A250:G250"/>
    <mergeCell ref="B245:D245"/>
    <mergeCell ref="A103:H103"/>
    <mergeCell ref="A77:B77"/>
    <mergeCell ref="A227:H227"/>
    <mergeCell ref="C192:H192"/>
    <mergeCell ref="A147:B147"/>
    <mergeCell ref="A248:H248"/>
    <mergeCell ref="A230:H230"/>
    <mergeCell ref="A192:B192"/>
    <mergeCell ref="A106:H106"/>
    <mergeCell ref="C77:H77"/>
    <mergeCell ref="C108:H108"/>
    <mergeCell ref="A201:B201"/>
    <mergeCell ref="A1:B1"/>
    <mergeCell ref="C201:H201"/>
    <mergeCell ref="A11:H11"/>
    <mergeCell ref="A104:F104"/>
    <mergeCell ref="A210:H210"/>
    <mergeCell ref="A217:H217"/>
    <mergeCell ref="A68:B68"/>
    <mergeCell ref="C68:H68"/>
    <mergeCell ref="A13:B13"/>
    <mergeCell ref="A27:B27"/>
    <mergeCell ref="A41:B41"/>
    <mergeCell ref="A90:B90"/>
    <mergeCell ref="C90:H90"/>
    <mergeCell ref="A108:B108"/>
    <mergeCell ref="A254:G254"/>
    <mergeCell ref="A121:B121"/>
    <mergeCell ref="C121:H121"/>
    <mergeCell ref="A131:B131"/>
    <mergeCell ref="C131:H131"/>
    <mergeCell ref="A157:B157"/>
    <mergeCell ref="C147:H147"/>
    <mergeCell ref="A220:H220"/>
    <mergeCell ref="A252:H252"/>
    <mergeCell ref="C157:H157"/>
    <mergeCell ref="K3:M3"/>
    <mergeCell ref="A54:B54"/>
    <mergeCell ref="C13:H13"/>
    <mergeCell ref="C27:H27"/>
    <mergeCell ref="C41:H41"/>
    <mergeCell ref="C54:H54"/>
  </mergeCells>
  <printOptions horizontalCentered="1"/>
  <pageMargins left="0.7874015748031497" right="0.3937007874015748" top="0.7874015748031497" bottom="0.7874015748031497" header="0.11811023622047245" footer="0.11811023622047245"/>
  <pageSetup fitToHeight="5" horizontalDpi="600" verticalDpi="600" orientation="portrait" paperSize="9" scale="71" r:id="rId1"/>
  <rowBreaks count="4" manualBreakCount="4">
    <brk id="40" max="7" man="1"/>
    <brk id="130" max="7" man="1"/>
    <brk id="156" max="7" man="1"/>
    <brk id="20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view="pageBreakPreview" zoomScale="85" zoomScaleNormal="70" zoomScaleSheetLayoutView="85" zoomScalePageLayoutView="0" workbookViewId="0" topLeftCell="A1">
      <selection activeCell="A1" sqref="A1:B1"/>
    </sheetView>
  </sheetViews>
  <sheetFormatPr defaultColWidth="9.00390625" defaultRowHeight="12.75" outlineLevelCol="1"/>
  <cols>
    <col min="1" max="1" width="28.625" style="1" customWidth="1"/>
    <col min="2" max="2" width="18.875" style="1" customWidth="1"/>
    <col min="3" max="3" width="18.50390625" style="1" hidden="1" customWidth="1" outlineLevel="1"/>
    <col min="4" max="4" width="16.50390625" style="1" hidden="1" customWidth="1" outlineLevel="1"/>
    <col min="5" max="5" width="27.875" style="1" customWidth="1" collapsed="1"/>
    <col min="6" max="8" width="17.875" style="1" customWidth="1"/>
    <col min="9" max="10" width="0" style="1" hidden="1" customWidth="1" outlineLevel="1"/>
    <col min="11" max="11" width="25.875" style="1" hidden="1" customWidth="1" outlineLevel="1"/>
    <col min="12" max="12" width="20.375" style="1" hidden="1" customWidth="1" outlineLevel="1"/>
    <col min="13" max="13" width="28.00390625" style="1" hidden="1" customWidth="1" outlineLevel="1"/>
    <col min="14" max="16" width="0" style="1" hidden="1" customWidth="1" outlineLevel="1"/>
    <col min="17" max="17" width="0" style="0" hidden="1" customWidth="1" outlineLevel="1"/>
    <col min="18" max="18" width="9.125" style="0" customWidth="1" collapsed="1"/>
    <col min="21" max="21" width="9.50390625" style="0" bestFit="1" customWidth="1"/>
  </cols>
  <sheetData>
    <row r="1" spans="1:15" ht="47.25" customHeight="1" thickBot="1">
      <c r="A1" s="177" t="s">
        <v>266</v>
      </c>
      <c r="B1" s="178"/>
      <c r="C1" s="95"/>
      <c r="D1" s="95"/>
      <c r="E1" s="95"/>
      <c r="F1" s="94" t="s">
        <v>111</v>
      </c>
      <c r="G1" s="94"/>
      <c r="H1" s="94"/>
      <c r="J1" s="17" t="s">
        <v>55</v>
      </c>
      <c r="K1" s="17"/>
      <c r="L1" s="17"/>
      <c r="M1" s="17"/>
      <c r="N1" s="18">
        <v>6048</v>
      </c>
      <c r="O1" t="s">
        <v>56</v>
      </c>
    </row>
    <row r="2" spans="1:15" ht="15.75" thickBot="1">
      <c r="A2" s="1" t="s">
        <v>51</v>
      </c>
      <c r="B2" s="1">
        <v>5</v>
      </c>
      <c r="F2" s="25" t="s">
        <v>112</v>
      </c>
      <c r="G2" s="25"/>
      <c r="H2" s="93">
        <f>H25+H38+H51+H60+H74+H87+H105+H115+H131+H141+H176+H185+H194+H201+H208+H229+H233+H211+H90+H237</f>
        <v>19.62026922575296</v>
      </c>
      <c r="J2" t="s">
        <v>57</v>
      </c>
      <c r="K2"/>
      <c r="L2"/>
      <c r="M2"/>
      <c r="N2">
        <v>164.2</v>
      </c>
      <c r="O2" t="s">
        <v>58</v>
      </c>
    </row>
    <row r="3" spans="1:15" ht="13.5" thickBot="1">
      <c r="A3" s="1" t="s">
        <v>52</v>
      </c>
      <c r="B3" s="1">
        <v>6</v>
      </c>
      <c r="J3"/>
      <c r="K3" s="165" t="s">
        <v>59</v>
      </c>
      <c r="L3" s="166"/>
      <c r="M3" s="166"/>
      <c r="N3"/>
      <c r="O3"/>
    </row>
    <row r="4" spans="1:15" ht="27" thickBot="1">
      <c r="A4" s="1" t="s">
        <v>215</v>
      </c>
      <c r="B4" s="1">
        <v>6362</v>
      </c>
      <c r="J4"/>
      <c r="K4" s="19" t="s">
        <v>4</v>
      </c>
      <c r="L4" s="19" t="s">
        <v>60</v>
      </c>
      <c r="M4" s="19" t="s">
        <v>61</v>
      </c>
      <c r="N4"/>
      <c r="O4"/>
    </row>
    <row r="5" spans="1:15" ht="13.5" thickBot="1">
      <c r="A5" s="1" t="s">
        <v>216</v>
      </c>
      <c r="B5" s="1">
        <v>4570</v>
      </c>
      <c r="J5"/>
      <c r="K5" s="20">
        <v>1</v>
      </c>
      <c r="L5" s="20">
        <v>1</v>
      </c>
      <c r="M5" s="21">
        <f>SUM(N1/N2)</f>
        <v>36.833130328867234</v>
      </c>
      <c r="N5"/>
      <c r="O5"/>
    </row>
    <row r="6" spans="1:15" ht="27" thickBot="1">
      <c r="A6" s="6" t="s">
        <v>217</v>
      </c>
      <c r="B6" s="1">
        <v>532</v>
      </c>
      <c r="J6"/>
      <c r="K6" s="20">
        <v>2</v>
      </c>
      <c r="L6" s="20">
        <v>1.3</v>
      </c>
      <c r="M6" s="21">
        <f>SUM(M5*L6)</f>
        <v>47.88306942752741</v>
      </c>
      <c r="N6"/>
      <c r="O6"/>
    </row>
    <row r="7" spans="1:19" ht="27" thickBot="1">
      <c r="A7" s="6" t="s">
        <v>218</v>
      </c>
      <c r="B7" s="1">
        <f>5452-1000</f>
        <v>4452</v>
      </c>
      <c r="J7"/>
      <c r="K7" s="20">
        <v>3</v>
      </c>
      <c r="L7" s="20">
        <v>1.69</v>
      </c>
      <c r="M7" s="21">
        <f>SUM(M5*L7)</f>
        <v>62.24799025578562</v>
      </c>
      <c r="N7"/>
      <c r="O7"/>
      <c r="S7">
        <v>19.62</v>
      </c>
    </row>
    <row r="8" spans="1:23" s="16" customFormat="1" ht="13.5" thickBot="1">
      <c r="A8" s="15" t="s">
        <v>219</v>
      </c>
      <c r="B8" s="15">
        <f>B7*0.405</f>
        <v>1803.0600000000002</v>
      </c>
      <c r="C8" s="15"/>
      <c r="D8" s="15"/>
      <c r="E8" s="15"/>
      <c r="F8" s="15"/>
      <c r="G8" s="15"/>
      <c r="H8" s="15"/>
      <c r="I8" s="15"/>
      <c r="J8"/>
      <c r="K8" s="20">
        <v>4</v>
      </c>
      <c r="L8" s="20">
        <v>1.91</v>
      </c>
      <c r="M8" s="21">
        <f>SUM(M5*L8)</f>
        <v>70.35127892813641</v>
      </c>
      <c r="N8"/>
      <c r="O8"/>
      <c r="P8" s="15"/>
      <c r="S8" s="67">
        <f>S7-H2</f>
        <v>-0.000269225752958846</v>
      </c>
      <c r="W8" s="16">
        <f>B7/B4</f>
        <v>0.6997799434140207</v>
      </c>
    </row>
    <row r="9" spans="1:23" s="16" customFormat="1" ht="13.5" thickBot="1">
      <c r="A9" s="15" t="s">
        <v>220</v>
      </c>
      <c r="B9" s="15">
        <f>B7-B8</f>
        <v>2648.9399999999996</v>
      </c>
      <c r="C9" s="15"/>
      <c r="D9" s="15"/>
      <c r="E9" s="15"/>
      <c r="F9" s="15"/>
      <c r="G9" s="15"/>
      <c r="H9" s="15"/>
      <c r="I9" s="15"/>
      <c r="J9"/>
      <c r="K9" s="20">
        <v>5</v>
      </c>
      <c r="L9" s="20">
        <v>2.16</v>
      </c>
      <c r="M9" s="21">
        <f>SUM(M5*L9)</f>
        <v>79.55956151035323</v>
      </c>
      <c r="N9"/>
      <c r="O9"/>
      <c r="P9" s="15"/>
      <c r="W9" s="16">
        <f>W8*3817</f>
        <v>2671.060044011317</v>
      </c>
    </row>
    <row r="10" spans="1:15" ht="13.5" thickBot="1">
      <c r="A10" s="1" t="s">
        <v>221</v>
      </c>
      <c r="B10" s="1">
        <f>B4/8</f>
        <v>795.25</v>
      </c>
      <c r="J10"/>
      <c r="K10" s="20">
        <v>6</v>
      </c>
      <c r="L10" s="20">
        <v>2.44</v>
      </c>
      <c r="M10" s="21">
        <f>SUM(M5*L10)</f>
        <v>89.87283800243605</v>
      </c>
      <c r="N10"/>
      <c r="O10"/>
    </row>
    <row r="11" spans="1:13" ht="13.5" thickBot="1">
      <c r="A11" s="173" t="s">
        <v>239</v>
      </c>
      <c r="B11" s="174"/>
      <c r="C11" s="174"/>
      <c r="D11" s="174"/>
      <c r="E11" s="174"/>
      <c r="F11" s="174"/>
      <c r="G11" s="174"/>
      <c r="H11" s="174"/>
      <c r="K11" s="20">
        <v>7</v>
      </c>
      <c r="L11" s="20">
        <v>2.76</v>
      </c>
      <c r="M11" s="21">
        <f>SUM(M5*L11)</f>
        <v>101.65943970767356</v>
      </c>
    </row>
    <row r="12" spans="1:13" ht="13.5" thickBot="1">
      <c r="A12" s="7"/>
      <c r="B12" s="8"/>
      <c r="C12" s="8"/>
      <c r="D12" s="8"/>
      <c r="E12" s="8"/>
      <c r="F12" s="8"/>
      <c r="G12" s="8"/>
      <c r="H12" s="8"/>
      <c r="K12" s="20">
        <v>8</v>
      </c>
      <c r="L12" s="20">
        <v>3.12</v>
      </c>
      <c r="M12" s="21">
        <f>SUM(M5*L12)</f>
        <v>114.91936662606578</v>
      </c>
    </row>
    <row r="13" spans="1:15" ht="45.75" customHeight="1" thickBot="1">
      <c r="A13" s="167" t="s">
        <v>236</v>
      </c>
      <c r="B13" s="168"/>
      <c r="C13" s="169" t="s">
        <v>2</v>
      </c>
      <c r="D13" s="170"/>
      <c r="E13" s="170"/>
      <c r="F13" s="170"/>
      <c r="G13" s="170"/>
      <c r="H13" s="170"/>
      <c r="J13"/>
      <c r="K13" s="20">
        <v>9</v>
      </c>
      <c r="L13" s="20">
        <v>3.53</v>
      </c>
      <c r="M13" s="21">
        <f>SUM(M5*L13)</f>
        <v>130.02095006090133</v>
      </c>
      <c r="N13"/>
      <c r="O13"/>
    </row>
    <row r="14" spans="1:15" ht="90.75" customHeight="1" thickBot="1">
      <c r="A14" s="13" t="s">
        <v>3</v>
      </c>
      <c r="B14" s="13" t="s">
        <v>4</v>
      </c>
      <c r="C14" s="13" t="s">
        <v>0</v>
      </c>
      <c r="D14" s="13" t="s">
        <v>1</v>
      </c>
      <c r="E14" s="13" t="s">
        <v>5</v>
      </c>
      <c r="F14" s="14" t="s">
        <v>46</v>
      </c>
      <c r="G14" s="14" t="s">
        <v>225</v>
      </c>
      <c r="H14" s="14" t="s">
        <v>49</v>
      </c>
      <c r="J14"/>
      <c r="K14" s="20">
        <v>10</v>
      </c>
      <c r="L14" s="20">
        <v>3.99</v>
      </c>
      <c r="M14" s="21">
        <f>SUM(M5*L14)</f>
        <v>146.96419001218027</v>
      </c>
      <c r="N14"/>
      <c r="O14"/>
    </row>
    <row r="15" spans="1:15" ht="27" thickBot="1">
      <c r="A15" s="3" t="s">
        <v>53</v>
      </c>
      <c r="B15" s="59">
        <v>2</v>
      </c>
      <c r="C15" s="2">
        <f>B6</f>
        <v>532</v>
      </c>
      <c r="D15" s="26">
        <v>1171</v>
      </c>
      <c r="E15" s="64">
        <f>C15*D15/1000</f>
        <v>622.972</v>
      </c>
      <c r="F15" s="64">
        <f>M6</f>
        <v>47.88306942752741</v>
      </c>
      <c r="G15" s="54">
        <f>E15*F15*1.42*1.15*1.302</f>
        <v>63423.13105597785</v>
      </c>
      <c r="H15" s="11"/>
      <c r="J15"/>
      <c r="K15" s="20">
        <v>11</v>
      </c>
      <c r="L15" s="20">
        <v>4.51</v>
      </c>
      <c r="M15" s="21">
        <f>SUM(M5*L15)</f>
        <v>166.11741778319123</v>
      </c>
      <c r="N15"/>
      <c r="O15"/>
    </row>
    <row r="16" spans="1:15" ht="13.5" thickBot="1">
      <c r="A16" s="9" t="s">
        <v>11</v>
      </c>
      <c r="B16" s="10" t="s">
        <v>42</v>
      </c>
      <c r="C16" s="10" t="s">
        <v>0</v>
      </c>
      <c r="D16" s="10" t="s">
        <v>1</v>
      </c>
      <c r="E16" s="65" t="s">
        <v>43</v>
      </c>
      <c r="F16" s="65" t="s">
        <v>47</v>
      </c>
      <c r="G16" s="66" t="s">
        <v>145</v>
      </c>
      <c r="H16" s="12"/>
      <c r="J16"/>
      <c r="K16" s="20">
        <v>12</v>
      </c>
      <c r="L16" s="20">
        <v>5.1</v>
      </c>
      <c r="M16" s="21">
        <f>SUM(M5*L16)</f>
        <v>187.84896467722288</v>
      </c>
      <c r="N16"/>
      <c r="O16"/>
    </row>
    <row r="17" spans="1:15" ht="13.5" thickBot="1">
      <c r="A17" s="4" t="s">
        <v>6</v>
      </c>
      <c r="B17" s="26" t="s">
        <v>62</v>
      </c>
      <c r="C17" s="2">
        <f>B6</f>
        <v>532</v>
      </c>
      <c r="D17" s="5">
        <v>0.85</v>
      </c>
      <c r="E17" s="64">
        <f aca="true" t="shared" si="0" ref="E17:E23">C17*D17/1000</f>
        <v>0.4522</v>
      </c>
      <c r="F17" s="64">
        <v>145</v>
      </c>
      <c r="G17" s="54">
        <f aca="true" t="shared" si="1" ref="G17:G23">E17*F17</f>
        <v>65.569</v>
      </c>
      <c r="H17" s="2"/>
      <c r="J17"/>
      <c r="K17" s="20">
        <v>13</v>
      </c>
      <c r="L17" s="20">
        <v>5.76</v>
      </c>
      <c r="M17" s="21">
        <f>SUM(M5*L17)</f>
        <v>212.15883069427525</v>
      </c>
      <c r="N17"/>
      <c r="O17"/>
    </row>
    <row r="18" spans="1:15" ht="13.5" thickBot="1">
      <c r="A18" s="4" t="s">
        <v>7</v>
      </c>
      <c r="B18" s="26" t="s">
        <v>62</v>
      </c>
      <c r="C18" s="2">
        <f>B6</f>
        <v>532</v>
      </c>
      <c r="D18" s="5">
        <v>10.15</v>
      </c>
      <c r="E18" s="64">
        <f t="shared" si="0"/>
        <v>5.3998</v>
      </c>
      <c r="F18" s="64">
        <v>84</v>
      </c>
      <c r="G18" s="54">
        <f t="shared" si="1"/>
        <v>453.5832</v>
      </c>
      <c r="H18" s="2"/>
      <c r="J18"/>
      <c r="K18" s="20">
        <v>14</v>
      </c>
      <c r="L18" s="20">
        <v>6.51</v>
      </c>
      <c r="M18" s="21">
        <f>SUM(M5*L18)</f>
        <v>239.78367844092568</v>
      </c>
      <c r="N18"/>
      <c r="O18"/>
    </row>
    <row r="19" spans="1:15" ht="13.5" thickBot="1">
      <c r="A19" s="4" t="s">
        <v>206</v>
      </c>
      <c r="B19" s="26" t="s">
        <v>62</v>
      </c>
      <c r="C19" s="2">
        <f>B6</f>
        <v>532</v>
      </c>
      <c r="D19" s="5">
        <v>0.42</v>
      </c>
      <c r="E19" s="64">
        <f t="shared" si="0"/>
        <v>0.22344</v>
      </c>
      <c r="F19" s="64">
        <v>64</v>
      </c>
      <c r="G19" s="54">
        <f t="shared" si="1"/>
        <v>14.30016</v>
      </c>
      <c r="H19" s="2"/>
      <c r="J19"/>
      <c r="K19" s="20">
        <v>15</v>
      </c>
      <c r="L19" s="20">
        <v>7.36</v>
      </c>
      <c r="M19" s="21">
        <f>SUM(M5*L19)</f>
        <v>271.0918392204629</v>
      </c>
      <c r="N19"/>
      <c r="O19"/>
    </row>
    <row r="20" spans="1:15" ht="13.5" thickBot="1">
      <c r="A20" s="4" t="s">
        <v>9</v>
      </c>
      <c r="B20" s="26" t="s">
        <v>62</v>
      </c>
      <c r="C20" s="2">
        <f>B6</f>
        <v>532</v>
      </c>
      <c r="D20" s="5">
        <v>0.85</v>
      </c>
      <c r="E20" s="64">
        <f t="shared" si="0"/>
        <v>0.4522</v>
      </c>
      <c r="F20" s="64">
        <v>83.5</v>
      </c>
      <c r="G20" s="54">
        <f t="shared" si="1"/>
        <v>37.7587</v>
      </c>
      <c r="H20" s="2"/>
      <c r="J20"/>
      <c r="K20" s="20">
        <v>16</v>
      </c>
      <c r="L20" s="20">
        <v>8.17</v>
      </c>
      <c r="M20" s="21">
        <f>SUM(M5*L20)</f>
        <v>300.9266747868453</v>
      </c>
      <c r="N20"/>
      <c r="O20"/>
    </row>
    <row r="21" spans="1:15" ht="13.5" thickBot="1">
      <c r="A21" s="4" t="s">
        <v>207</v>
      </c>
      <c r="B21" s="26" t="s">
        <v>36</v>
      </c>
      <c r="C21" s="2">
        <f>C17</f>
        <v>532</v>
      </c>
      <c r="D21" s="5">
        <v>0.93</v>
      </c>
      <c r="E21" s="64">
        <f t="shared" si="0"/>
        <v>0.49476000000000003</v>
      </c>
      <c r="F21" s="64">
        <v>45</v>
      </c>
      <c r="G21" s="54">
        <f t="shared" si="1"/>
        <v>22.264200000000002</v>
      </c>
      <c r="H21" s="2"/>
      <c r="J21"/>
      <c r="K21" s="20"/>
      <c r="L21" s="20"/>
      <c r="M21" s="21"/>
      <c r="N21"/>
      <c r="O21"/>
    </row>
    <row r="22" spans="1:15" ht="13.5" thickBot="1">
      <c r="A22" s="4" t="s">
        <v>50</v>
      </c>
      <c r="B22" s="26" t="s">
        <v>36</v>
      </c>
      <c r="C22" s="2">
        <f>C17</f>
        <v>532</v>
      </c>
      <c r="D22" s="5">
        <v>0.82</v>
      </c>
      <c r="E22" s="64">
        <f t="shared" si="0"/>
        <v>0.43623999999999996</v>
      </c>
      <c r="F22" s="64">
        <v>25.5</v>
      </c>
      <c r="G22" s="54">
        <f t="shared" si="1"/>
        <v>11.12412</v>
      </c>
      <c r="H22" s="2"/>
      <c r="J22"/>
      <c r="K22" s="20"/>
      <c r="L22" s="20"/>
      <c r="M22" s="21"/>
      <c r="N22"/>
      <c r="O22"/>
    </row>
    <row r="23" spans="1:15" ht="13.5" thickBot="1">
      <c r="A23" s="4" t="s">
        <v>10</v>
      </c>
      <c r="B23" s="26" t="s">
        <v>62</v>
      </c>
      <c r="C23" s="2">
        <f>B6</f>
        <v>532</v>
      </c>
      <c r="D23" s="5">
        <v>0.85</v>
      </c>
      <c r="E23" s="64">
        <f t="shared" si="0"/>
        <v>0.4522</v>
      </c>
      <c r="F23" s="64">
        <f>28.06*3.5</f>
        <v>98.21</v>
      </c>
      <c r="G23" s="54">
        <f t="shared" si="1"/>
        <v>44.410562</v>
      </c>
      <c r="H23" s="2"/>
      <c r="J23"/>
      <c r="K23" s="20">
        <v>18</v>
      </c>
      <c r="L23" s="20">
        <v>10.07</v>
      </c>
      <c r="M23" s="21">
        <f>SUM(M5*L23)</f>
        <v>370.9096224116931</v>
      </c>
      <c r="N23"/>
      <c r="O23"/>
    </row>
    <row r="24" spans="1:15" ht="12.75">
      <c r="A24" s="4" t="s">
        <v>209</v>
      </c>
      <c r="B24" s="26"/>
      <c r="C24" s="2"/>
      <c r="D24" s="5"/>
      <c r="E24" s="64"/>
      <c r="F24" s="64"/>
      <c r="G24" s="54">
        <f>E15*спецодежда!G24</f>
        <v>957.1148591811167</v>
      </c>
      <c r="H24" s="2"/>
      <c r="J24"/>
      <c r="K24" s="69"/>
      <c r="L24" s="69"/>
      <c r="M24" s="70"/>
      <c r="N24"/>
      <c r="O24"/>
    </row>
    <row r="25" spans="1:15" ht="15">
      <c r="A25" s="9" t="s">
        <v>48</v>
      </c>
      <c r="B25" s="10"/>
      <c r="C25" s="10"/>
      <c r="D25" s="10"/>
      <c r="E25" s="10"/>
      <c r="F25" s="10"/>
      <c r="G25" s="66">
        <f>G15+G17+G18+G19+G20+G23+G21+G22+G24</f>
        <v>65029.25585715896</v>
      </c>
      <c r="H25" s="41">
        <f>G25/12/B5</f>
        <v>1.185799705637472</v>
      </c>
      <c r="J25"/>
      <c r="N25"/>
      <c r="O25"/>
    </row>
    <row r="26" spans="10:15" ht="12.75">
      <c r="J26"/>
      <c r="N26"/>
      <c r="O26"/>
    </row>
    <row r="27" spans="1:28" s="1" customFormat="1" ht="28.5" customHeight="1">
      <c r="A27" s="167" t="s">
        <v>238</v>
      </c>
      <c r="B27" s="168"/>
      <c r="C27" s="169" t="s">
        <v>13</v>
      </c>
      <c r="D27" s="170"/>
      <c r="E27" s="170"/>
      <c r="F27" s="170"/>
      <c r="G27" s="170"/>
      <c r="H27" s="170"/>
      <c r="Q27"/>
      <c r="R27"/>
      <c r="S27"/>
      <c r="T27"/>
      <c r="U27"/>
      <c r="V27"/>
      <c r="W27"/>
      <c r="X27"/>
      <c r="Y27"/>
      <c r="Z27"/>
      <c r="AA27"/>
      <c r="AB27"/>
    </row>
    <row r="28" spans="1:28" s="1" customFormat="1" ht="91.5" customHeight="1" thickBot="1">
      <c r="A28" s="13" t="s">
        <v>3</v>
      </c>
      <c r="B28" s="13" t="s">
        <v>4</v>
      </c>
      <c r="C28" s="13" t="s">
        <v>0</v>
      </c>
      <c r="D28" s="13" t="s">
        <v>1</v>
      </c>
      <c r="E28" s="13" t="s">
        <v>5</v>
      </c>
      <c r="F28" s="14" t="s">
        <v>46</v>
      </c>
      <c r="G28" s="14" t="s">
        <v>225</v>
      </c>
      <c r="H28" s="14" t="s">
        <v>49</v>
      </c>
      <c r="Q28"/>
      <c r="R28"/>
      <c r="S28"/>
      <c r="T28"/>
      <c r="U28"/>
      <c r="V28"/>
      <c r="W28"/>
      <c r="X28"/>
      <c r="Y28"/>
      <c r="Z28"/>
      <c r="AA28"/>
      <c r="AB28"/>
    </row>
    <row r="29" spans="1:28" s="1" customFormat="1" ht="13.5" thickBot="1">
      <c r="A29" s="3" t="s">
        <v>14</v>
      </c>
      <c r="B29" s="59">
        <v>1</v>
      </c>
      <c r="C29" s="2">
        <f>$B$8</f>
        <v>1803.0600000000002</v>
      </c>
      <c r="D29" s="26">
        <v>137.5</v>
      </c>
      <c r="E29" s="64">
        <f>C29*D29/1000</f>
        <v>247.92075000000003</v>
      </c>
      <c r="F29" s="64">
        <f>M5</f>
        <v>36.833130328867234</v>
      </c>
      <c r="G29" s="54">
        <f>E29*F29*1.42*1.15*1.302</f>
        <v>19415.5043130057</v>
      </c>
      <c r="H29" s="11"/>
      <c r="J29"/>
      <c r="K29" s="20"/>
      <c r="L29" s="20"/>
      <c r="M29" s="21"/>
      <c r="N29"/>
      <c r="O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" customFormat="1" ht="13.5" thickBot="1">
      <c r="A30" s="9" t="s">
        <v>11</v>
      </c>
      <c r="B30" s="10" t="s">
        <v>42</v>
      </c>
      <c r="C30" s="10" t="s">
        <v>0</v>
      </c>
      <c r="D30" s="10" t="s">
        <v>1</v>
      </c>
      <c r="E30" s="10" t="s">
        <v>43</v>
      </c>
      <c r="F30" s="10" t="s">
        <v>47</v>
      </c>
      <c r="G30" s="12" t="s">
        <v>145</v>
      </c>
      <c r="H30" s="12"/>
      <c r="Q30"/>
      <c r="R30"/>
      <c r="S30"/>
      <c r="T30"/>
      <c r="U30"/>
      <c r="V30"/>
      <c r="W30"/>
      <c r="X30"/>
      <c r="Y30"/>
      <c r="Z30"/>
      <c r="AA30"/>
      <c r="AB30"/>
    </row>
    <row r="31" spans="1:28" s="1" customFormat="1" ht="13.5" thickBot="1">
      <c r="A31" s="4" t="s">
        <v>6</v>
      </c>
      <c r="B31" s="26" t="s">
        <v>62</v>
      </c>
      <c r="C31" s="2">
        <f>C29</f>
        <v>1803.0600000000002</v>
      </c>
      <c r="D31" s="5">
        <v>0.03</v>
      </c>
      <c r="E31" s="64">
        <f aca="true" t="shared" si="2" ref="E31:E36">C31*D31/1000</f>
        <v>0.05409180000000001</v>
      </c>
      <c r="F31" s="78">
        <f>F17</f>
        <v>145</v>
      </c>
      <c r="G31" s="54">
        <f aca="true" t="shared" si="3" ref="G31:G36">E31*F31</f>
        <v>7.843311000000002</v>
      </c>
      <c r="H31" s="2"/>
      <c r="J31"/>
      <c r="K31" s="20"/>
      <c r="L31" s="20"/>
      <c r="M31" s="21"/>
      <c r="N31"/>
      <c r="O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" customFormat="1" ht="13.5" thickBot="1">
      <c r="A32" s="4" t="s">
        <v>15</v>
      </c>
      <c r="B32" s="26" t="s">
        <v>62</v>
      </c>
      <c r="C32" s="2">
        <f>C29</f>
        <v>1803.0600000000002</v>
      </c>
      <c r="D32" s="5">
        <v>0.03</v>
      </c>
      <c r="E32" s="64">
        <f t="shared" si="2"/>
        <v>0.05409180000000001</v>
      </c>
      <c r="F32" s="78">
        <v>210</v>
      </c>
      <c r="G32" s="54">
        <f t="shared" si="3"/>
        <v>11.359278000000002</v>
      </c>
      <c r="H32" s="2"/>
      <c r="J32"/>
      <c r="K32" s="20"/>
      <c r="L32" s="20"/>
      <c r="M32" s="21"/>
      <c r="N32"/>
      <c r="O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" customFormat="1" ht="13.5" thickBot="1">
      <c r="A33" s="4" t="s">
        <v>16</v>
      </c>
      <c r="B33" s="26" t="s">
        <v>62</v>
      </c>
      <c r="C33" s="2">
        <f>C29</f>
        <v>1803.0600000000002</v>
      </c>
      <c r="D33" s="5">
        <v>0.1</v>
      </c>
      <c r="E33" s="64">
        <f t="shared" si="2"/>
        <v>0.18030600000000005</v>
      </c>
      <c r="F33" s="78">
        <v>175</v>
      </c>
      <c r="G33" s="54">
        <f t="shared" si="3"/>
        <v>31.55355000000001</v>
      </c>
      <c r="H33" s="2"/>
      <c r="J33"/>
      <c r="K33" s="20"/>
      <c r="L33" s="20"/>
      <c r="M33" s="21"/>
      <c r="N33"/>
      <c r="O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" customFormat="1" ht="13.5" thickBot="1">
      <c r="A34" s="4" t="s">
        <v>17</v>
      </c>
      <c r="B34" s="26" t="s">
        <v>62</v>
      </c>
      <c r="C34" s="2">
        <f>C29</f>
        <v>1803.0600000000002</v>
      </c>
      <c r="D34" s="5">
        <v>5.1</v>
      </c>
      <c r="E34" s="64">
        <f t="shared" si="2"/>
        <v>9.195606</v>
      </c>
      <c r="F34" s="78">
        <v>65</v>
      </c>
      <c r="G34" s="54">
        <f t="shared" si="3"/>
        <v>597.71439</v>
      </c>
      <c r="H34" s="2"/>
      <c r="J34"/>
      <c r="K34" s="20"/>
      <c r="L34" s="20"/>
      <c r="M34" s="21"/>
      <c r="N34"/>
      <c r="O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" customFormat="1" ht="27" thickBot="1">
      <c r="A35" s="4" t="s">
        <v>18</v>
      </c>
      <c r="B35" s="26" t="s">
        <v>62</v>
      </c>
      <c r="C35" s="2">
        <f>C29</f>
        <v>1803.0600000000002</v>
      </c>
      <c r="D35" s="5">
        <v>34.8</v>
      </c>
      <c r="E35" s="64">
        <f t="shared" si="2"/>
        <v>62.746488</v>
      </c>
      <c r="F35" s="78">
        <v>19.7</v>
      </c>
      <c r="G35" s="54">
        <f t="shared" si="3"/>
        <v>1236.1058136</v>
      </c>
      <c r="H35" s="2"/>
      <c r="J35"/>
      <c r="K35" s="20"/>
      <c r="L35" s="20"/>
      <c r="M35" s="21"/>
      <c r="N35"/>
      <c r="O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" customFormat="1" ht="13.5" thickBot="1">
      <c r="A36" s="4" t="s">
        <v>19</v>
      </c>
      <c r="B36" s="26" t="s">
        <v>62</v>
      </c>
      <c r="C36" s="2">
        <f>C29</f>
        <v>1803.0600000000002</v>
      </c>
      <c r="D36" s="5">
        <v>0.05</v>
      </c>
      <c r="E36" s="64">
        <f t="shared" si="2"/>
        <v>0.09015300000000002</v>
      </c>
      <c r="F36" s="78">
        <v>2500</v>
      </c>
      <c r="G36" s="54">
        <f t="shared" si="3"/>
        <v>225.38250000000005</v>
      </c>
      <c r="H36" s="2"/>
      <c r="J36"/>
      <c r="K36" s="20"/>
      <c r="L36" s="20"/>
      <c r="M36" s="21"/>
      <c r="N36"/>
      <c r="O36"/>
      <c r="Q36"/>
      <c r="R36"/>
      <c r="S36"/>
      <c r="T36"/>
      <c r="U36"/>
      <c r="V36"/>
      <c r="W36"/>
      <c r="X36"/>
      <c r="Y36"/>
      <c r="Z36"/>
      <c r="AA36"/>
      <c r="AB36"/>
    </row>
    <row r="37" spans="1:28" s="1" customFormat="1" ht="12.75">
      <c r="A37" s="4" t="s">
        <v>209</v>
      </c>
      <c r="B37" s="26"/>
      <c r="C37" s="2"/>
      <c r="D37" s="5"/>
      <c r="E37" s="64"/>
      <c r="F37" s="78"/>
      <c r="G37" s="54">
        <f>E29*спецодежда!G14</f>
        <v>436.7959017050857</v>
      </c>
      <c r="H37" s="2"/>
      <c r="J37"/>
      <c r="K37" s="69"/>
      <c r="L37" s="69"/>
      <c r="M37" s="70"/>
      <c r="N37"/>
      <c r="O37"/>
      <c r="Q37"/>
      <c r="R37"/>
      <c r="S37"/>
      <c r="T37"/>
      <c r="U37"/>
      <c r="V37"/>
      <c r="W37"/>
      <c r="X37"/>
      <c r="Y37"/>
      <c r="Z37"/>
      <c r="AA37"/>
      <c r="AB37"/>
    </row>
    <row r="38" spans="1:28" s="1" customFormat="1" ht="15">
      <c r="A38" s="9" t="s">
        <v>48</v>
      </c>
      <c r="B38" s="10"/>
      <c r="C38" s="10"/>
      <c r="D38" s="10"/>
      <c r="E38" s="10"/>
      <c r="F38" s="10"/>
      <c r="G38" s="66">
        <f>G29+G31+G32+G33+G34+G35+G36+G37</f>
        <v>21962.259057310785</v>
      </c>
      <c r="H38" s="41">
        <f>G38/12/B5</f>
        <v>0.40047883036671744</v>
      </c>
      <c r="J38"/>
      <c r="N38"/>
      <c r="O38"/>
      <c r="Q38"/>
      <c r="R38"/>
      <c r="S38"/>
      <c r="T38"/>
      <c r="U38"/>
      <c r="V38"/>
      <c r="W38"/>
      <c r="X38"/>
      <c r="Y38"/>
      <c r="Z38"/>
      <c r="AA38"/>
      <c r="AB38"/>
    </row>
    <row r="40" spans="1:28" s="1" customFormat="1" ht="20.25" customHeight="1">
      <c r="A40" s="167" t="s">
        <v>240</v>
      </c>
      <c r="B40" s="168"/>
      <c r="C40" s="169" t="s">
        <v>232</v>
      </c>
      <c r="D40" s="170"/>
      <c r="E40" s="170"/>
      <c r="F40" s="170"/>
      <c r="G40" s="170"/>
      <c r="H40" s="170"/>
      <c r="Q40"/>
      <c r="R40"/>
      <c r="S40"/>
      <c r="T40"/>
      <c r="U40"/>
      <c r="V40"/>
      <c r="W40"/>
      <c r="X40"/>
      <c r="Y40"/>
      <c r="Z40"/>
      <c r="AA40"/>
      <c r="AB40"/>
    </row>
    <row r="41" spans="1:28" s="1" customFormat="1" ht="91.5" customHeight="1" thickBot="1">
      <c r="A41" s="13" t="s">
        <v>3</v>
      </c>
      <c r="B41" s="13" t="s">
        <v>4</v>
      </c>
      <c r="C41" s="13" t="s">
        <v>0</v>
      </c>
      <c r="D41" s="13" t="s">
        <v>1</v>
      </c>
      <c r="E41" s="13" t="s">
        <v>5</v>
      </c>
      <c r="F41" s="14" t="s">
        <v>46</v>
      </c>
      <c r="G41" s="14" t="s">
        <v>225</v>
      </c>
      <c r="H41" s="14" t="s">
        <v>49</v>
      </c>
      <c r="Q41"/>
      <c r="R41"/>
      <c r="S41"/>
      <c r="T41"/>
      <c r="U41"/>
      <c r="V41"/>
      <c r="W41"/>
      <c r="X41"/>
      <c r="Y41"/>
      <c r="Z41"/>
      <c r="AA41"/>
      <c r="AB41"/>
    </row>
    <row r="42" spans="1:28" s="1" customFormat="1" ht="13.5" thickBot="1">
      <c r="A42" s="3" t="s">
        <v>14</v>
      </c>
      <c r="B42" s="59">
        <v>1</v>
      </c>
      <c r="C42" s="2">
        <f>B9</f>
        <v>2648.9399999999996</v>
      </c>
      <c r="D42" s="26">
        <v>318</v>
      </c>
      <c r="E42" s="64">
        <f>C42*D42/1000</f>
        <v>842.3629199999999</v>
      </c>
      <c r="F42" s="64">
        <f>M5</f>
        <v>36.833130328867234</v>
      </c>
      <c r="G42" s="54">
        <f>E42*F42*1.42*1.15*1.302</f>
        <v>65968.26165771148</v>
      </c>
      <c r="H42" s="11"/>
      <c r="J42"/>
      <c r="K42" s="20"/>
      <c r="L42" s="20"/>
      <c r="M42" s="21"/>
      <c r="N42"/>
      <c r="O42"/>
      <c r="Q42"/>
      <c r="R42"/>
      <c r="S42"/>
      <c r="T42"/>
      <c r="U42"/>
      <c r="V42"/>
      <c r="W42"/>
      <c r="X42"/>
      <c r="Y42"/>
      <c r="Z42"/>
      <c r="AA42"/>
      <c r="AB42"/>
    </row>
    <row r="43" spans="1:28" s="1" customFormat="1" ht="13.5" thickBot="1">
      <c r="A43" s="9" t="s">
        <v>11</v>
      </c>
      <c r="B43" s="10" t="s">
        <v>42</v>
      </c>
      <c r="C43" s="10" t="s">
        <v>0</v>
      </c>
      <c r="D43" s="10" t="s">
        <v>1</v>
      </c>
      <c r="E43" s="10" t="s">
        <v>43</v>
      </c>
      <c r="F43" s="10" t="s">
        <v>47</v>
      </c>
      <c r="G43" s="12" t="s">
        <v>145</v>
      </c>
      <c r="H43" s="12"/>
      <c r="Q43"/>
      <c r="R43"/>
      <c r="S43"/>
      <c r="T43"/>
      <c r="U43"/>
      <c r="V43"/>
      <c r="W43"/>
      <c r="X43"/>
      <c r="Y43"/>
      <c r="Z43"/>
      <c r="AA43"/>
      <c r="AB43"/>
    </row>
    <row r="44" spans="1:28" s="1" customFormat="1" ht="13.5" thickBot="1">
      <c r="A44" s="4" t="s">
        <v>6</v>
      </c>
      <c r="B44" s="26" t="s">
        <v>62</v>
      </c>
      <c r="C44" s="2">
        <f>C42</f>
        <v>2648.9399999999996</v>
      </c>
      <c r="D44" s="5">
        <v>0.05</v>
      </c>
      <c r="E44" s="64">
        <f aca="true" t="shared" si="4" ref="E44:E49">C44*D44/1000</f>
        <v>0.13244699999999998</v>
      </c>
      <c r="F44" s="78">
        <f>F31</f>
        <v>145</v>
      </c>
      <c r="G44" s="54">
        <f aca="true" t="shared" si="5" ref="G44:G49">E44*F44</f>
        <v>19.204814999999996</v>
      </c>
      <c r="H44" s="2"/>
      <c r="J44"/>
      <c r="K44" s="20"/>
      <c r="L44" s="20"/>
      <c r="M44" s="21"/>
      <c r="N44"/>
      <c r="O44"/>
      <c r="Q44"/>
      <c r="R44"/>
      <c r="S44"/>
      <c r="T44"/>
      <c r="U44"/>
      <c r="V44"/>
      <c r="W44"/>
      <c r="X44"/>
      <c r="Y44"/>
      <c r="Z44"/>
      <c r="AA44"/>
      <c r="AB44"/>
    </row>
    <row r="45" spans="1:28" s="1" customFormat="1" ht="13.5" thickBot="1">
      <c r="A45" s="4" t="s">
        <v>15</v>
      </c>
      <c r="B45" s="26" t="s">
        <v>62</v>
      </c>
      <c r="C45" s="2">
        <f>C42</f>
        <v>2648.9399999999996</v>
      </c>
      <c r="D45" s="5">
        <v>0.05</v>
      </c>
      <c r="E45" s="64">
        <f t="shared" si="4"/>
        <v>0.13244699999999998</v>
      </c>
      <c r="F45" s="78">
        <f>F32</f>
        <v>210</v>
      </c>
      <c r="G45" s="54">
        <f t="shared" si="5"/>
        <v>27.813869999999994</v>
      </c>
      <c r="H45" s="2"/>
      <c r="J45"/>
      <c r="K45" s="20"/>
      <c r="L45" s="20"/>
      <c r="M45" s="21"/>
      <c r="N45"/>
      <c r="O45"/>
      <c r="Q45"/>
      <c r="R45"/>
      <c r="S45"/>
      <c r="T45"/>
      <c r="U45"/>
      <c r="V45"/>
      <c r="W45"/>
      <c r="X45"/>
      <c r="Y45"/>
      <c r="Z45"/>
      <c r="AA45"/>
      <c r="AB45"/>
    </row>
    <row r="46" spans="1:28" s="1" customFormat="1" ht="13.5" thickBot="1">
      <c r="A46" s="4" t="s">
        <v>16</v>
      </c>
      <c r="B46" s="26" t="s">
        <v>62</v>
      </c>
      <c r="C46" s="2">
        <f>C42</f>
        <v>2648.9399999999996</v>
      </c>
      <c r="D46" s="5">
        <v>0.16</v>
      </c>
      <c r="E46" s="64">
        <f t="shared" si="4"/>
        <v>0.42383039999999994</v>
      </c>
      <c r="F46" s="78">
        <f>F33</f>
        <v>175</v>
      </c>
      <c r="G46" s="54">
        <f t="shared" si="5"/>
        <v>74.17031999999999</v>
      </c>
      <c r="H46" s="2"/>
      <c r="J46"/>
      <c r="K46" s="20"/>
      <c r="L46" s="20"/>
      <c r="M46" s="21"/>
      <c r="N46"/>
      <c r="O46"/>
      <c r="Q46"/>
      <c r="R46"/>
      <c r="S46"/>
      <c r="T46"/>
      <c r="U46"/>
      <c r="V46"/>
      <c r="W46"/>
      <c r="X46"/>
      <c r="Y46"/>
      <c r="Z46"/>
      <c r="AA46"/>
      <c r="AB46"/>
    </row>
    <row r="47" spans="1:28" s="1" customFormat="1" ht="13.5" thickBot="1">
      <c r="A47" s="4" t="s">
        <v>17</v>
      </c>
      <c r="B47" s="26" t="s">
        <v>62</v>
      </c>
      <c r="C47" s="2">
        <f>C42</f>
        <v>2648.9399999999996</v>
      </c>
      <c r="D47" s="5">
        <v>8.51</v>
      </c>
      <c r="E47" s="64">
        <f t="shared" si="4"/>
        <v>22.542479399999998</v>
      </c>
      <c r="F47" s="78">
        <f>F34</f>
        <v>65</v>
      </c>
      <c r="G47" s="54">
        <f t="shared" si="5"/>
        <v>1465.261161</v>
      </c>
      <c r="H47" s="2"/>
      <c r="J47"/>
      <c r="K47" s="20"/>
      <c r="L47" s="20"/>
      <c r="M47" s="21"/>
      <c r="N47"/>
      <c r="O47"/>
      <c r="Q47"/>
      <c r="R47"/>
      <c r="S47"/>
      <c r="T47"/>
      <c r="U47"/>
      <c r="V47"/>
      <c r="W47"/>
      <c r="X47"/>
      <c r="Y47"/>
      <c r="Z47"/>
      <c r="AA47"/>
      <c r="AB47"/>
    </row>
    <row r="48" spans="1:28" s="1" customFormat="1" ht="27" thickBot="1">
      <c r="A48" s="4" t="s">
        <v>18</v>
      </c>
      <c r="B48" s="26" t="s">
        <v>62</v>
      </c>
      <c r="C48" s="2">
        <f>C42</f>
        <v>2648.9399999999996</v>
      </c>
      <c r="D48" s="5">
        <v>58.63</v>
      </c>
      <c r="E48" s="64">
        <f t="shared" si="4"/>
        <v>155.3073522</v>
      </c>
      <c r="F48" s="78">
        <f>F35</f>
        <v>19.7</v>
      </c>
      <c r="G48" s="54">
        <f t="shared" si="5"/>
        <v>3059.5548383399996</v>
      </c>
      <c r="H48" s="2"/>
      <c r="J48"/>
      <c r="K48" s="20"/>
      <c r="L48" s="20"/>
      <c r="M48" s="21"/>
      <c r="N48"/>
      <c r="O48"/>
      <c r="Q48"/>
      <c r="R48"/>
      <c r="S48"/>
      <c r="T48"/>
      <c r="U48"/>
      <c r="V48"/>
      <c r="W48"/>
      <c r="X48"/>
      <c r="Y48"/>
      <c r="Z48"/>
      <c r="AA48"/>
      <c r="AB48"/>
    </row>
    <row r="49" spans="1:28" s="1" customFormat="1" ht="13.5" thickBot="1">
      <c r="A49" s="4" t="s">
        <v>19</v>
      </c>
      <c r="B49" s="26" t="s">
        <v>62</v>
      </c>
      <c r="C49" s="2">
        <f>C42</f>
        <v>2648.9399999999996</v>
      </c>
      <c r="D49" s="5">
        <v>0.08</v>
      </c>
      <c r="E49" s="64">
        <f t="shared" si="4"/>
        <v>0.21191519999999997</v>
      </c>
      <c r="F49" s="78">
        <v>2500</v>
      </c>
      <c r="G49" s="54">
        <f t="shared" si="5"/>
        <v>529.7879999999999</v>
      </c>
      <c r="H49" s="2"/>
      <c r="J49"/>
      <c r="K49" s="20"/>
      <c r="L49" s="20"/>
      <c r="M49" s="21"/>
      <c r="N49"/>
      <c r="O49"/>
      <c r="Q49"/>
      <c r="R49"/>
      <c r="S49"/>
      <c r="T49"/>
      <c r="U49"/>
      <c r="V49"/>
      <c r="W49"/>
      <c r="X49"/>
      <c r="Y49"/>
      <c r="Z49"/>
      <c r="AA49"/>
      <c r="AB49"/>
    </row>
    <row r="50" spans="1:28" s="1" customFormat="1" ht="13.5" thickBot="1">
      <c r="A50" s="4" t="s">
        <v>209</v>
      </c>
      <c r="B50" s="26"/>
      <c r="C50" s="2"/>
      <c r="D50" s="5"/>
      <c r="E50" s="64"/>
      <c r="F50" s="78"/>
      <c r="G50" s="54">
        <f>E42*спецодежда!G14</f>
        <v>1484.1059943725118</v>
      </c>
      <c r="H50" s="2"/>
      <c r="J50"/>
      <c r="K50" s="20"/>
      <c r="L50" s="20"/>
      <c r="M50" s="21"/>
      <c r="N50"/>
      <c r="O50"/>
      <c r="Q50"/>
      <c r="R50"/>
      <c r="S50"/>
      <c r="T50"/>
      <c r="U50"/>
      <c r="V50"/>
      <c r="W50"/>
      <c r="X50"/>
      <c r="Y50"/>
      <c r="Z50"/>
      <c r="AA50"/>
      <c r="AB50"/>
    </row>
    <row r="51" spans="1:28" s="1" customFormat="1" ht="15">
      <c r="A51" s="9" t="s">
        <v>48</v>
      </c>
      <c r="B51" s="10"/>
      <c r="C51" s="10"/>
      <c r="D51" s="10"/>
      <c r="E51" s="10"/>
      <c r="F51" s="10"/>
      <c r="G51" s="66">
        <f>G42+G44+G45+G46+G47+G48+G49+G50</f>
        <v>72628.160656424</v>
      </c>
      <c r="H51" s="41">
        <f>G51/B5/12</f>
        <v>1.324364709271043</v>
      </c>
      <c r="J51"/>
      <c r="N51"/>
      <c r="O51"/>
      <c r="Q51"/>
      <c r="R51"/>
      <c r="S51"/>
      <c r="T51"/>
      <c r="U51"/>
      <c r="V51"/>
      <c r="W51"/>
      <c r="X51"/>
      <c r="Y51"/>
      <c r="Z51"/>
      <c r="AA51"/>
      <c r="AB51"/>
    </row>
    <row r="52" spans="1:28" s="1" customFormat="1" ht="12.75">
      <c r="A52" s="22"/>
      <c r="B52" s="23"/>
      <c r="C52" s="23"/>
      <c r="D52" s="24"/>
      <c r="E52" s="23"/>
      <c r="F52" s="23"/>
      <c r="G52" s="23"/>
      <c r="H52" s="23"/>
      <c r="Q52"/>
      <c r="R52"/>
      <c r="S52"/>
      <c r="T52"/>
      <c r="U52"/>
      <c r="V52"/>
      <c r="W52"/>
      <c r="X52"/>
      <c r="Y52"/>
      <c r="Z52"/>
      <c r="AA52"/>
      <c r="AB52"/>
    </row>
    <row r="54" spans="1:28" s="1" customFormat="1" ht="20.25" customHeight="1">
      <c r="A54" s="167" t="s">
        <v>241</v>
      </c>
      <c r="B54" s="168"/>
      <c r="C54" s="169" t="s">
        <v>20</v>
      </c>
      <c r="D54" s="170"/>
      <c r="E54" s="170"/>
      <c r="F54" s="170"/>
      <c r="G54" s="170"/>
      <c r="H54" s="170"/>
      <c r="Q54"/>
      <c r="R54"/>
      <c r="S54"/>
      <c r="T54"/>
      <c r="U54"/>
      <c r="V54"/>
      <c r="W54"/>
      <c r="X54"/>
      <c r="Y54"/>
      <c r="Z54"/>
      <c r="AA54"/>
      <c r="AB54"/>
    </row>
    <row r="55" spans="1:28" s="1" customFormat="1" ht="91.5" customHeight="1" thickBot="1">
      <c r="A55" s="13" t="s">
        <v>3</v>
      </c>
      <c r="B55" s="13" t="s">
        <v>4</v>
      </c>
      <c r="C55" s="13" t="s">
        <v>0</v>
      </c>
      <c r="D55" s="13" t="s">
        <v>1</v>
      </c>
      <c r="E55" s="13" t="s">
        <v>5</v>
      </c>
      <c r="F55" s="14" t="s">
        <v>46</v>
      </c>
      <c r="G55" s="14" t="s">
        <v>225</v>
      </c>
      <c r="H55" s="14" t="s">
        <v>49</v>
      </c>
      <c r="Q55"/>
      <c r="R55"/>
      <c r="S55"/>
      <c r="T55"/>
      <c r="U55"/>
      <c r="V55"/>
      <c r="W55"/>
      <c r="X55"/>
      <c r="Y55"/>
      <c r="Z55"/>
      <c r="AA55"/>
      <c r="AB55"/>
    </row>
    <row r="56" spans="1:28" s="1" customFormat="1" ht="13.5" thickBot="1">
      <c r="A56" s="3" t="s">
        <v>14</v>
      </c>
      <c r="B56" s="59">
        <v>1</v>
      </c>
      <c r="C56" s="2">
        <f>B5</f>
        <v>4570</v>
      </c>
      <c r="D56" s="26">
        <v>9.17</v>
      </c>
      <c r="E56" s="64">
        <f>C56*D56/1000</f>
        <v>41.9069</v>
      </c>
      <c r="F56" s="64">
        <f>M5</f>
        <v>36.833130328867234</v>
      </c>
      <c r="G56" s="54">
        <f>E56*F56*1.42*1.15*1.302</f>
        <v>3281.8697010826986</v>
      </c>
      <c r="H56" s="11"/>
      <c r="J56"/>
      <c r="K56" s="20"/>
      <c r="L56" s="20"/>
      <c r="M56" s="21"/>
      <c r="N56"/>
      <c r="O56"/>
      <c r="Q56"/>
      <c r="R56"/>
      <c r="S56"/>
      <c r="T56"/>
      <c r="U56"/>
      <c r="V56"/>
      <c r="W56"/>
      <c r="X56"/>
      <c r="Y56"/>
      <c r="Z56"/>
      <c r="AA56"/>
      <c r="AB56"/>
    </row>
    <row r="57" spans="1:28" s="1" customFormat="1" ht="13.5" thickBot="1">
      <c r="A57" s="9" t="s">
        <v>11</v>
      </c>
      <c r="B57" s="10" t="s">
        <v>42</v>
      </c>
      <c r="C57" s="10" t="s">
        <v>0</v>
      </c>
      <c r="D57" s="10" t="s">
        <v>1</v>
      </c>
      <c r="E57" s="10" t="s">
        <v>43</v>
      </c>
      <c r="F57" s="10" t="s">
        <v>47</v>
      </c>
      <c r="G57" s="12" t="s">
        <v>145</v>
      </c>
      <c r="H57" s="12"/>
      <c r="Q57"/>
      <c r="R57"/>
      <c r="S57"/>
      <c r="T57"/>
      <c r="U57"/>
      <c r="V57"/>
      <c r="W57"/>
      <c r="X57"/>
      <c r="Y57"/>
      <c r="Z57"/>
      <c r="AA57"/>
      <c r="AB57"/>
    </row>
    <row r="58" spans="1:28" s="1" customFormat="1" ht="27" thickBot="1">
      <c r="A58" s="4" t="s">
        <v>18</v>
      </c>
      <c r="B58" s="26" t="s">
        <v>62</v>
      </c>
      <c r="C58" s="2">
        <f>B5</f>
        <v>4570</v>
      </c>
      <c r="D58" s="5">
        <v>1.7</v>
      </c>
      <c r="E58" s="64">
        <f>C58*D58/1000</f>
        <v>7.769</v>
      </c>
      <c r="F58" s="78">
        <f>F35</f>
        <v>19.7</v>
      </c>
      <c r="G58" s="54">
        <f>E58*F58</f>
        <v>153.0493</v>
      </c>
      <c r="H58" s="2"/>
      <c r="J58"/>
      <c r="K58" s="20"/>
      <c r="L58" s="20"/>
      <c r="M58" s="21"/>
      <c r="N58"/>
      <c r="O58"/>
      <c r="Q58"/>
      <c r="R58"/>
      <c r="S58"/>
      <c r="T58"/>
      <c r="U58"/>
      <c r="V58"/>
      <c r="W58"/>
      <c r="X58"/>
      <c r="Y58"/>
      <c r="Z58"/>
      <c r="AA58"/>
      <c r="AB58"/>
    </row>
    <row r="59" spans="1:28" s="1" customFormat="1" ht="13.5" thickBot="1">
      <c r="A59" s="4" t="s">
        <v>209</v>
      </c>
      <c r="B59" s="26"/>
      <c r="C59" s="2"/>
      <c r="D59" s="5"/>
      <c r="E59" s="64"/>
      <c r="F59" s="78"/>
      <c r="G59" s="54">
        <f>E56*спецодежда!G14</f>
        <v>73.83311874123022</v>
      </c>
      <c r="H59" s="2"/>
      <c r="J59"/>
      <c r="K59" s="20"/>
      <c r="L59" s="20"/>
      <c r="M59" s="21"/>
      <c r="N59"/>
      <c r="O59"/>
      <c r="Q59"/>
      <c r="R59"/>
      <c r="S59"/>
      <c r="T59"/>
      <c r="U59"/>
      <c r="V59"/>
      <c r="W59"/>
      <c r="X59"/>
      <c r="Y59"/>
      <c r="Z59"/>
      <c r="AA59"/>
      <c r="AB59"/>
    </row>
    <row r="60" spans="1:28" s="1" customFormat="1" ht="15">
      <c r="A60" s="9" t="s">
        <v>48</v>
      </c>
      <c r="B60" s="10"/>
      <c r="C60" s="10"/>
      <c r="D60" s="10"/>
      <c r="E60" s="10"/>
      <c r="F60" s="10"/>
      <c r="G60" s="66">
        <f>G56+G58+G59</f>
        <v>3508.7521198239288</v>
      </c>
      <c r="H60" s="41">
        <f>G60/B5/12</f>
        <v>0.06398162144099068</v>
      </c>
      <c r="J60"/>
      <c r="N60"/>
      <c r="O60"/>
      <c r="Q60"/>
      <c r="R60"/>
      <c r="S60"/>
      <c r="T60"/>
      <c r="U60"/>
      <c r="V60"/>
      <c r="W60"/>
      <c r="X60"/>
      <c r="Y60"/>
      <c r="Z60"/>
      <c r="AA60"/>
      <c r="AB60"/>
    </row>
    <row r="63" spans="1:28" s="1" customFormat="1" ht="28.5" customHeight="1">
      <c r="A63" s="167" t="s">
        <v>242</v>
      </c>
      <c r="B63" s="168"/>
      <c r="C63" s="169" t="s">
        <v>24</v>
      </c>
      <c r="D63" s="170"/>
      <c r="E63" s="170"/>
      <c r="F63" s="170"/>
      <c r="G63" s="170"/>
      <c r="H63" s="170"/>
      <c r="Q63"/>
      <c r="R63"/>
      <c r="S63"/>
      <c r="T63"/>
      <c r="U63"/>
      <c r="V63"/>
      <c r="W63"/>
      <c r="X63"/>
      <c r="Y63"/>
      <c r="Z63"/>
      <c r="AA63"/>
      <c r="AB63"/>
    </row>
    <row r="64" spans="1:28" s="1" customFormat="1" ht="91.5" customHeight="1" thickBot="1">
      <c r="A64" s="13" t="s">
        <v>3</v>
      </c>
      <c r="B64" s="13" t="s">
        <v>4</v>
      </c>
      <c r="C64" s="13" t="s">
        <v>0</v>
      </c>
      <c r="D64" s="13" t="s">
        <v>1</v>
      </c>
      <c r="E64" s="13" t="s">
        <v>5</v>
      </c>
      <c r="F64" s="14" t="s">
        <v>46</v>
      </c>
      <c r="G64" s="14" t="s">
        <v>225</v>
      </c>
      <c r="H64" s="14" t="s">
        <v>49</v>
      </c>
      <c r="Q64"/>
      <c r="R64"/>
      <c r="S64"/>
      <c r="T64"/>
      <c r="U64"/>
      <c r="V64"/>
      <c r="W64"/>
      <c r="X64"/>
      <c r="Y64"/>
      <c r="Z64"/>
      <c r="AA64"/>
      <c r="AB64"/>
    </row>
    <row r="65" spans="1:28" s="1" customFormat="1" ht="13.5" thickBot="1">
      <c r="A65" s="3" t="s">
        <v>14</v>
      </c>
      <c r="B65" s="59">
        <v>1</v>
      </c>
      <c r="C65" s="2">
        <f>B8</f>
        <v>1803.0600000000002</v>
      </c>
      <c r="D65" s="26">
        <v>63</v>
      </c>
      <c r="E65" s="64">
        <f>C65*D65/10000</f>
        <v>11.359278000000002</v>
      </c>
      <c r="F65" s="64">
        <f>M5</f>
        <v>36.833130328867234</v>
      </c>
      <c r="G65" s="54">
        <f>E65*F65*1.42*1.15*1.302</f>
        <v>889.5831067049885</v>
      </c>
      <c r="H65" s="11"/>
      <c r="J65"/>
      <c r="K65" s="20"/>
      <c r="L65" s="20"/>
      <c r="M65" s="21"/>
      <c r="N65"/>
      <c r="O65"/>
      <c r="Q65"/>
      <c r="R65"/>
      <c r="S65"/>
      <c r="T65"/>
      <c r="U65"/>
      <c r="V65"/>
      <c r="W65"/>
      <c r="X65"/>
      <c r="Y65"/>
      <c r="Z65"/>
      <c r="AA65"/>
      <c r="AB65"/>
    </row>
    <row r="66" spans="1:28" s="1" customFormat="1" ht="13.5" thickBot="1">
      <c r="A66" s="9" t="s">
        <v>11</v>
      </c>
      <c r="B66" s="10" t="s">
        <v>42</v>
      </c>
      <c r="C66" s="10" t="s">
        <v>0</v>
      </c>
      <c r="D66" s="10" t="s">
        <v>1</v>
      </c>
      <c r="E66" s="10" t="s">
        <v>43</v>
      </c>
      <c r="F66" s="10" t="s">
        <v>47</v>
      </c>
      <c r="G66" s="12" t="s">
        <v>145</v>
      </c>
      <c r="H66" s="12"/>
      <c r="Q66"/>
      <c r="R66"/>
      <c r="S66"/>
      <c r="T66"/>
      <c r="U66"/>
      <c r="V66"/>
      <c r="W66"/>
      <c r="X66"/>
      <c r="Y66"/>
      <c r="Z66"/>
      <c r="AA66"/>
      <c r="AB66"/>
    </row>
    <row r="67" spans="1:28" s="1" customFormat="1" ht="13.5" thickBot="1">
      <c r="A67" s="4" t="s">
        <v>21</v>
      </c>
      <c r="B67" s="26" t="s">
        <v>62</v>
      </c>
      <c r="C67" s="2">
        <f>C65</f>
        <v>1803.0600000000002</v>
      </c>
      <c r="D67" s="5">
        <v>0.03</v>
      </c>
      <c r="E67" s="64">
        <f aca="true" t="shared" si="6" ref="E67:E72">C67*D67/10000</f>
        <v>0.00540918</v>
      </c>
      <c r="F67" s="78">
        <v>806</v>
      </c>
      <c r="G67" s="54">
        <f aca="true" t="shared" si="7" ref="G67:G72">E67*F67</f>
        <v>4.35979908</v>
      </c>
      <c r="H67" s="2"/>
      <c r="J67"/>
      <c r="K67" s="20"/>
      <c r="L67" s="20"/>
      <c r="M67" s="21"/>
      <c r="N67"/>
      <c r="O67"/>
      <c r="Q67"/>
      <c r="R67"/>
      <c r="S67"/>
      <c r="T67"/>
      <c r="U67"/>
      <c r="V67"/>
      <c r="W67"/>
      <c r="X67"/>
      <c r="Y67"/>
      <c r="Z67"/>
      <c r="AA67"/>
      <c r="AB67"/>
    </row>
    <row r="68" spans="1:28" s="1" customFormat="1" ht="13.5" thickBot="1">
      <c r="A68" s="4" t="s">
        <v>22</v>
      </c>
      <c r="B68" s="26" t="s">
        <v>62</v>
      </c>
      <c r="C68" s="2">
        <f>C65</f>
        <v>1803.0600000000002</v>
      </c>
      <c r="D68" s="5">
        <v>0.02</v>
      </c>
      <c r="E68" s="64">
        <f t="shared" si="6"/>
        <v>0.003606120000000001</v>
      </c>
      <c r="F68" s="78">
        <f>F46</f>
        <v>175</v>
      </c>
      <c r="G68" s="54">
        <f t="shared" si="7"/>
        <v>0.6310710000000002</v>
      </c>
      <c r="H68" s="2"/>
      <c r="J68"/>
      <c r="K68" s="20"/>
      <c r="L68" s="20"/>
      <c r="M68" s="21"/>
      <c r="N68"/>
      <c r="O68"/>
      <c r="Q68"/>
      <c r="R68"/>
      <c r="S68"/>
      <c r="T68"/>
      <c r="U68"/>
      <c r="V68"/>
      <c r="W68"/>
      <c r="X68"/>
      <c r="Y68"/>
      <c r="Z68"/>
      <c r="AA68"/>
      <c r="AB68"/>
    </row>
    <row r="69" spans="1:28" s="1" customFormat="1" ht="13.5" thickBot="1">
      <c r="A69" s="4" t="s">
        <v>16</v>
      </c>
      <c r="B69" s="26" t="s">
        <v>62</v>
      </c>
      <c r="C69" s="2">
        <f>C65</f>
        <v>1803.0600000000002</v>
      </c>
      <c r="D69" s="5">
        <v>0.03</v>
      </c>
      <c r="E69" s="64">
        <f t="shared" si="6"/>
        <v>0.00540918</v>
      </c>
      <c r="F69" s="78">
        <f>F46</f>
        <v>175</v>
      </c>
      <c r="G69" s="54">
        <f t="shared" si="7"/>
        <v>0.9466065</v>
      </c>
      <c r="H69" s="2"/>
      <c r="J69"/>
      <c r="K69" s="20"/>
      <c r="L69" s="20"/>
      <c r="M69" s="21"/>
      <c r="N69"/>
      <c r="O69"/>
      <c r="Q69"/>
      <c r="R69"/>
      <c r="S69"/>
      <c r="T69"/>
      <c r="U69"/>
      <c r="V69"/>
      <c r="W69"/>
      <c r="X69"/>
      <c r="Y69"/>
      <c r="Z69"/>
      <c r="AA69"/>
      <c r="AB69"/>
    </row>
    <row r="70" spans="1:28" s="1" customFormat="1" ht="13.5" thickBot="1">
      <c r="A70" s="4" t="s">
        <v>17</v>
      </c>
      <c r="B70" s="26" t="s">
        <v>62</v>
      </c>
      <c r="C70" s="2">
        <f>C65</f>
        <v>1803.0600000000002</v>
      </c>
      <c r="D70" s="5">
        <v>2.23</v>
      </c>
      <c r="E70" s="64">
        <f t="shared" si="6"/>
        <v>0.4020823800000001</v>
      </c>
      <c r="F70" s="78">
        <f>F47</f>
        <v>65</v>
      </c>
      <c r="G70" s="54">
        <f t="shared" si="7"/>
        <v>26.135354700000004</v>
      </c>
      <c r="H70" s="2"/>
      <c r="J70"/>
      <c r="K70" s="20"/>
      <c r="L70" s="20"/>
      <c r="M70" s="21"/>
      <c r="N70"/>
      <c r="O70"/>
      <c r="Q70"/>
      <c r="R70"/>
      <c r="S70"/>
      <c r="T70"/>
      <c r="U70"/>
      <c r="V70"/>
      <c r="W70"/>
      <c r="X70"/>
      <c r="Y70"/>
      <c r="Z70"/>
      <c r="AA70"/>
      <c r="AB70"/>
    </row>
    <row r="71" spans="1:28" s="1" customFormat="1" ht="13.5" thickBot="1">
      <c r="A71" s="4" t="s">
        <v>23</v>
      </c>
      <c r="B71" s="26" t="s">
        <v>62</v>
      </c>
      <c r="C71" s="2">
        <f>C65</f>
        <v>1803.0600000000002</v>
      </c>
      <c r="D71" s="5">
        <v>0.03</v>
      </c>
      <c r="E71" s="64">
        <f t="shared" si="6"/>
        <v>0.00540918</v>
      </c>
      <c r="F71" s="78">
        <v>350</v>
      </c>
      <c r="G71" s="54">
        <f t="shared" si="7"/>
        <v>1.893213</v>
      </c>
      <c r="H71" s="2"/>
      <c r="J71"/>
      <c r="K71" s="20"/>
      <c r="L71" s="20"/>
      <c r="M71" s="21"/>
      <c r="N71"/>
      <c r="O71"/>
      <c r="Q71"/>
      <c r="R71"/>
      <c r="S71"/>
      <c r="T71"/>
      <c r="U71"/>
      <c r="V71"/>
      <c r="W71"/>
      <c r="X71"/>
      <c r="Y71"/>
      <c r="Z71"/>
      <c r="AA71"/>
      <c r="AB71"/>
    </row>
    <row r="72" spans="1:28" s="1" customFormat="1" ht="13.5" thickBot="1">
      <c r="A72" s="4" t="s">
        <v>19</v>
      </c>
      <c r="B72" s="26" t="s">
        <v>62</v>
      </c>
      <c r="C72" s="2">
        <f>C65</f>
        <v>1803.0600000000002</v>
      </c>
      <c r="D72" s="5">
        <v>0.02</v>
      </c>
      <c r="E72" s="64">
        <f t="shared" si="6"/>
        <v>0.003606120000000001</v>
      </c>
      <c r="F72" s="78">
        <f>F49</f>
        <v>2500</v>
      </c>
      <c r="G72" s="54">
        <f t="shared" si="7"/>
        <v>9.015300000000002</v>
      </c>
      <c r="H72" s="2"/>
      <c r="J72"/>
      <c r="K72" s="20"/>
      <c r="L72" s="20"/>
      <c r="M72" s="21"/>
      <c r="N72"/>
      <c r="O72"/>
      <c r="Q72"/>
      <c r="R72"/>
      <c r="S72"/>
      <c r="T72"/>
      <c r="U72"/>
      <c r="V72"/>
      <c r="W72"/>
      <c r="X72"/>
      <c r="Y72"/>
      <c r="Z72"/>
      <c r="AA72"/>
      <c r="AB72"/>
    </row>
    <row r="73" spans="1:28" s="1" customFormat="1" ht="13.5" thickBot="1">
      <c r="A73" s="4" t="s">
        <v>209</v>
      </c>
      <c r="B73" s="26"/>
      <c r="C73" s="2"/>
      <c r="D73" s="5"/>
      <c r="E73" s="64"/>
      <c r="F73" s="78"/>
      <c r="G73" s="54">
        <f>E65*спецодежда!G14</f>
        <v>20.01319404176029</v>
      </c>
      <c r="H73" s="2"/>
      <c r="J73"/>
      <c r="K73" s="20"/>
      <c r="L73" s="20"/>
      <c r="M73" s="21"/>
      <c r="N73"/>
      <c r="O73"/>
      <c r="Q73"/>
      <c r="R73"/>
      <c r="S73"/>
      <c r="T73"/>
      <c r="U73"/>
      <c r="V73"/>
      <c r="W73"/>
      <c r="X73"/>
      <c r="Y73"/>
      <c r="Z73"/>
      <c r="AA73"/>
      <c r="AB73"/>
    </row>
    <row r="74" spans="1:28" s="1" customFormat="1" ht="15">
      <c r="A74" s="9" t="s">
        <v>48</v>
      </c>
      <c r="B74" s="10"/>
      <c r="C74" s="10"/>
      <c r="D74" s="10"/>
      <c r="E74" s="10"/>
      <c r="F74" s="10"/>
      <c r="G74" s="66">
        <f>G65+G67+G68+G69+G70+G71+G72+G73</f>
        <v>952.5776450267488</v>
      </c>
      <c r="H74" s="41">
        <f>G74/B5/12</f>
        <v>0.01737012481813911</v>
      </c>
      <c r="J74"/>
      <c r="N74"/>
      <c r="O74"/>
      <c r="Q74"/>
      <c r="R74"/>
      <c r="S74"/>
      <c r="T74"/>
      <c r="U74"/>
      <c r="V74"/>
      <c r="W74"/>
      <c r="X74"/>
      <c r="Y74"/>
      <c r="Z74"/>
      <c r="AA74"/>
      <c r="AB74"/>
    </row>
    <row r="76" spans="1:28" s="1" customFormat="1" ht="28.5" customHeight="1">
      <c r="A76" s="167" t="s">
        <v>243</v>
      </c>
      <c r="B76" s="168"/>
      <c r="C76" s="169" t="s">
        <v>24</v>
      </c>
      <c r="D76" s="170"/>
      <c r="E76" s="170"/>
      <c r="F76" s="170"/>
      <c r="G76" s="170"/>
      <c r="H76" s="170"/>
      <c r="Q76"/>
      <c r="R76"/>
      <c r="S76"/>
      <c r="T76"/>
      <c r="U76"/>
      <c r="V76"/>
      <c r="W76"/>
      <c r="X76"/>
      <c r="Y76"/>
      <c r="Z76"/>
      <c r="AA76"/>
      <c r="AB76"/>
    </row>
    <row r="77" spans="1:28" s="1" customFormat="1" ht="91.5" customHeight="1" thickBot="1">
      <c r="A77" s="13" t="s">
        <v>3</v>
      </c>
      <c r="B77" s="13" t="s">
        <v>4</v>
      </c>
      <c r="C77" s="13" t="s">
        <v>0</v>
      </c>
      <c r="D77" s="13" t="s">
        <v>1</v>
      </c>
      <c r="E77" s="13" t="s">
        <v>5</v>
      </c>
      <c r="F77" s="14" t="s">
        <v>46</v>
      </c>
      <c r="G77" s="14" t="s">
        <v>225</v>
      </c>
      <c r="H77" s="14" t="s">
        <v>49</v>
      </c>
      <c r="Q77"/>
      <c r="R77"/>
      <c r="S77"/>
      <c r="T77"/>
      <c r="U77"/>
      <c r="V77"/>
      <c r="W77"/>
      <c r="X77"/>
      <c r="Y77"/>
      <c r="Z77"/>
      <c r="AA77"/>
      <c r="AB77"/>
    </row>
    <row r="78" spans="1:28" s="1" customFormat="1" ht="13.5" thickBot="1">
      <c r="A78" s="3" t="s">
        <v>14</v>
      </c>
      <c r="B78" s="59">
        <v>1</v>
      </c>
      <c r="C78" s="2">
        <f>B8</f>
        <v>1803.0600000000002</v>
      </c>
      <c r="D78" s="26">
        <v>325</v>
      </c>
      <c r="E78" s="64">
        <f>C78*D78/1000</f>
        <v>585.9945</v>
      </c>
      <c r="F78" s="64">
        <f>M5</f>
        <v>36.833130328867234</v>
      </c>
      <c r="G78" s="54">
        <f>E78*F78*1.42*1.15*1.302</f>
        <v>45891.19201255892</v>
      </c>
      <c r="H78" s="11"/>
      <c r="J78"/>
      <c r="K78" s="20"/>
      <c r="L78" s="20"/>
      <c r="M78" s="21"/>
      <c r="N78"/>
      <c r="O78"/>
      <c r="Q78"/>
      <c r="R78"/>
      <c r="S78"/>
      <c r="T78"/>
      <c r="U78"/>
      <c r="V78"/>
      <c r="W78"/>
      <c r="X78"/>
      <c r="Y78"/>
      <c r="Z78"/>
      <c r="AA78"/>
      <c r="AB78"/>
    </row>
    <row r="79" spans="1:28" s="1" customFormat="1" ht="13.5" thickBot="1">
      <c r="A79" s="9" t="s">
        <v>11</v>
      </c>
      <c r="B79" s="10" t="s">
        <v>42</v>
      </c>
      <c r="C79" s="10" t="s">
        <v>0</v>
      </c>
      <c r="D79" s="10" t="s">
        <v>1</v>
      </c>
      <c r="E79" s="10" t="s">
        <v>43</v>
      </c>
      <c r="F79" s="10" t="s">
        <v>47</v>
      </c>
      <c r="G79" s="12" t="s">
        <v>145</v>
      </c>
      <c r="H79" s="12"/>
      <c r="Q79"/>
      <c r="R79"/>
      <c r="S79"/>
      <c r="T79"/>
      <c r="U79"/>
      <c r="V79"/>
      <c r="W79"/>
      <c r="X79"/>
      <c r="Y79"/>
      <c r="Z79"/>
      <c r="AA79"/>
      <c r="AB79"/>
    </row>
    <row r="80" spans="1:28" s="1" customFormat="1" ht="13.5" thickBot="1">
      <c r="A80" s="4" t="s">
        <v>21</v>
      </c>
      <c r="B80" s="26" t="s">
        <v>62</v>
      </c>
      <c r="C80" s="2">
        <f>C78</f>
        <v>1803.0600000000002</v>
      </c>
      <c r="D80" s="5">
        <v>0.16</v>
      </c>
      <c r="E80" s="64">
        <f aca="true" t="shared" si="8" ref="E80:E85">C80*D80/1000</f>
        <v>0.28848960000000007</v>
      </c>
      <c r="F80" s="78">
        <f aca="true" t="shared" si="9" ref="F80:F85">F67</f>
        <v>806</v>
      </c>
      <c r="G80" s="54">
        <f aca="true" t="shared" si="10" ref="G80:G85">E80*F80</f>
        <v>232.52261760000005</v>
      </c>
      <c r="H80" s="2"/>
      <c r="J80"/>
      <c r="K80" s="20"/>
      <c r="L80" s="20"/>
      <c r="M80" s="21"/>
      <c r="N80"/>
      <c r="O80"/>
      <c r="Q80"/>
      <c r="R80"/>
      <c r="S80"/>
      <c r="T80"/>
      <c r="U80"/>
      <c r="V80"/>
      <c r="W80"/>
      <c r="X80"/>
      <c r="Y80"/>
      <c r="Z80"/>
      <c r="AA80"/>
      <c r="AB80"/>
    </row>
    <row r="81" spans="1:28" s="1" customFormat="1" ht="13.5" thickBot="1">
      <c r="A81" s="4" t="s">
        <v>22</v>
      </c>
      <c r="B81" s="26" t="s">
        <v>62</v>
      </c>
      <c r="C81" s="2">
        <f>C78</f>
        <v>1803.0600000000002</v>
      </c>
      <c r="D81" s="5">
        <v>0.08</v>
      </c>
      <c r="E81" s="64">
        <f t="shared" si="8"/>
        <v>0.14424480000000003</v>
      </c>
      <c r="F81" s="78">
        <f t="shared" si="9"/>
        <v>175</v>
      </c>
      <c r="G81" s="54">
        <f t="shared" si="10"/>
        <v>25.242840000000005</v>
      </c>
      <c r="H81" s="2"/>
      <c r="J81"/>
      <c r="K81" s="20"/>
      <c r="L81" s="20"/>
      <c r="M81" s="21"/>
      <c r="N81"/>
      <c r="O81"/>
      <c r="Q81"/>
      <c r="R81"/>
      <c r="S81"/>
      <c r="T81"/>
      <c r="U81"/>
      <c r="V81"/>
      <c r="W81"/>
      <c r="X81"/>
      <c r="Y81"/>
      <c r="Z81"/>
      <c r="AA81"/>
      <c r="AB81"/>
    </row>
    <row r="82" spans="1:28" s="1" customFormat="1" ht="13.5" thickBot="1">
      <c r="A82" s="4" t="s">
        <v>16</v>
      </c>
      <c r="B82" s="26" t="s">
        <v>62</v>
      </c>
      <c r="C82" s="2">
        <f>C78</f>
        <v>1803.0600000000002</v>
      </c>
      <c r="D82" s="5">
        <v>0.16</v>
      </c>
      <c r="E82" s="64">
        <f t="shared" si="8"/>
        <v>0.28848960000000007</v>
      </c>
      <c r="F82" s="78">
        <f t="shared" si="9"/>
        <v>175</v>
      </c>
      <c r="G82" s="54">
        <f t="shared" si="10"/>
        <v>50.48568000000001</v>
      </c>
      <c r="H82" s="2"/>
      <c r="J82"/>
      <c r="K82" s="20"/>
      <c r="L82" s="20"/>
      <c r="M82" s="21"/>
      <c r="N82"/>
      <c r="O82"/>
      <c r="Q82"/>
      <c r="R82"/>
      <c r="S82"/>
      <c r="T82"/>
      <c r="U82"/>
      <c r="V82"/>
      <c r="W82"/>
      <c r="X82"/>
      <c r="Y82"/>
      <c r="Z82"/>
      <c r="AA82"/>
      <c r="AB82"/>
    </row>
    <row r="83" spans="1:28" s="1" customFormat="1" ht="13.5" thickBot="1">
      <c r="A83" s="4" t="s">
        <v>17</v>
      </c>
      <c r="B83" s="26" t="s">
        <v>62</v>
      </c>
      <c r="C83" s="2">
        <f>C78</f>
        <v>1803.0600000000002</v>
      </c>
      <c r="D83" s="5">
        <v>11.48</v>
      </c>
      <c r="E83" s="64">
        <f t="shared" si="8"/>
        <v>20.699128800000004</v>
      </c>
      <c r="F83" s="78">
        <f t="shared" si="9"/>
        <v>65</v>
      </c>
      <c r="G83" s="54">
        <f t="shared" si="10"/>
        <v>1345.4433720000002</v>
      </c>
      <c r="H83" s="2"/>
      <c r="J83"/>
      <c r="K83" s="20"/>
      <c r="L83" s="20"/>
      <c r="M83" s="21"/>
      <c r="N83"/>
      <c r="O83"/>
      <c r="Q83"/>
      <c r="R83"/>
      <c r="S83"/>
      <c r="T83"/>
      <c r="U83"/>
      <c r="V83"/>
      <c r="W83"/>
      <c r="X83"/>
      <c r="Y83"/>
      <c r="Z83"/>
      <c r="AA83"/>
      <c r="AB83"/>
    </row>
    <row r="84" spans="1:28" s="1" customFormat="1" ht="13.5" thickBot="1">
      <c r="A84" s="4" t="s">
        <v>23</v>
      </c>
      <c r="B84" s="26" t="s">
        <v>62</v>
      </c>
      <c r="C84" s="2">
        <f>C78</f>
        <v>1803.0600000000002</v>
      </c>
      <c r="D84" s="5">
        <v>0.16</v>
      </c>
      <c r="E84" s="64">
        <f t="shared" si="8"/>
        <v>0.28848960000000007</v>
      </c>
      <c r="F84" s="78">
        <f t="shared" si="9"/>
        <v>350</v>
      </c>
      <c r="G84" s="54">
        <f t="shared" si="10"/>
        <v>100.97136000000002</v>
      </c>
      <c r="H84" s="2"/>
      <c r="J84"/>
      <c r="K84" s="20"/>
      <c r="L84" s="20"/>
      <c r="M84" s="21"/>
      <c r="N84"/>
      <c r="O84"/>
      <c r="Q84"/>
      <c r="R84"/>
      <c r="S84"/>
      <c r="T84"/>
      <c r="U84"/>
      <c r="V84"/>
      <c r="W84"/>
      <c r="X84"/>
      <c r="Y84"/>
      <c r="Z84"/>
      <c r="AA84"/>
      <c r="AB84"/>
    </row>
    <row r="85" spans="1:28" s="1" customFormat="1" ht="13.5" thickBot="1">
      <c r="A85" s="4" t="s">
        <v>19</v>
      </c>
      <c r="B85" s="26" t="s">
        <v>62</v>
      </c>
      <c r="C85" s="2">
        <f>C78</f>
        <v>1803.0600000000002</v>
      </c>
      <c r="D85" s="5">
        <v>0.08</v>
      </c>
      <c r="E85" s="64">
        <f t="shared" si="8"/>
        <v>0.14424480000000003</v>
      </c>
      <c r="F85" s="78">
        <f t="shared" si="9"/>
        <v>2500</v>
      </c>
      <c r="G85" s="54">
        <f t="shared" si="10"/>
        <v>360.6120000000001</v>
      </c>
      <c r="H85" s="2"/>
      <c r="J85"/>
      <c r="K85" s="20"/>
      <c r="L85" s="20"/>
      <c r="M85" s="21"/>
      <c r="N85"/>
      <c r="O85"/>
      <c r="Q85"/>
      <c r="R85"/>
      <c r="S85"/>
      <c r="T85"/>
      <c r="U85"/>
      <c r="V85"/>
      <c r="W85"/>
      <c r="X85"/>
      <c r="Y85"/>
      <c r="Z85"/>
      <c r="AA85"/>
      <c r="AB85"/>
    </row>
    <row r="86" spans="1:28" s="1" customFormat="1" ht="13.5" thickBot="1">
      <c r="A86" s="4" t="s">
        <v>209</v>
      </c>
      <c r="B86" s="26"/>
      <c r="C86" s="2"/>
      <c r="D86" s="5"/>
      <c r="E86" s="64"/>
      <c r="F86" s="78"/>
      <c r="G86" s="54">
        <f>E78*спецодежда!G14</f>
        <v>1032.4266767574752</v>
      </c>
      <c r="H86" s="2"/>
      <c r="J86"/>
      <c r="K86" s="20"/>
      <c r="L86" s="20"/>
      <c r="M86" s="21"/>
      <c r="N86"/>
      <c r="O86"/>
      <c r="Q86"/>
      <c r="R86"/>
      <c r="S86"/>
      <c r="T86"/>
      <c r="U86"/>
      <c r="V86"/>
      <c r="W86"/>
      <c r="X86"/>
      <c r="Y86"/>
      <c r="Z86"/>
      <c r="AA86"/>
      <c r="AB86"/>
    </row>
    <row r="87" spans="1:28" s="1" customFormat="1" ht="15">
      <c r="A87" s="9" t="s">
        <v>48</v>
      </c>
      <c r="B87" s="10"/>
      <c r="C87" s="10"/>
      <c r="D87" s="10"/>
      <c r="E87" s="10"/>
      <c r="F87" s="10"/>
      <c r="G87" s="66">
        <f>G78+G80+G81+G82+G83+G84+G85+G86</f>
        <v>49038.89655891639</v>
      </c>
      <c r="H87" s="41">
        <f>G87/B5/12</f>
        <v>0.8942176615411451</v>
      </c>
      <c r="J87"/>
      <c r="N87"/>
      <c r="O87"/>
      <c r="Q87"/>
      <c r="R87"/>
      <c r="S87"/>
      <c r="T87"/>
      <c r="U87"/>
      <c r="V87"/>
      <c r="W87"/>
      <c r="X87"/>
      <c r="Y87"/>
      <c r="Z87"/>
      <c r="AA87"/>
      <c r="AB87"/>
    </row>
    <row r="89" spans="1:28" s="1" customFormat="1" ht="12.75">
      <c r="A89" s="173" t="s">
        <v>244</v>
      </c>
      <c r="B89" s="174"/>
      <c r="C89" s="174"/>
      <c r="D89" s="174"/>
      <c r="E89" s="174"/>
      <c r="F89" s="174"/>
      <c r="G89" s="174"/>
      <c r="H89" s="174"/>
      <c r="Q89"/>
      <c r="R89"/>
      <c r="S89"/>
      <c r="T89"/>
      <c r="U89"/>
      <c r="V89"/>
      <c r="W89"/>
      <c r="X89"/>
      <c r="Y89"/>
      <c r="Z89"/>
      <c r="AA89"/>
      <c r="AB89"/>
    </row>
    <row r="90" spans="1:28" s="1" customFormat="1" ht="27.75" customHeight="1">
      <c r="A90" s="171" t="s">
        <v>224</v>
      </c>
      <c r="B90" s="179"/>
      <c r="C90" s="179"/>
      <c r="D90" s="179"/>
      <c r="E90" s="179"/>
      <c r="F90" s="179"/>
      <c r="G90" s="39" t="s">
        <v>116</v>
      </c>
      <c r="H90" s="41">
        <f>(H74+H87)*0.14</f>
        <v>0.12762229009029982</v>
      </c>
      <c r="Q90"/>
      <c r="R90"/>
      <c r="S90"/>
      <c r="T90"/>
      <c r="U90"/>
      <c r="V90"/>
      <c r="W90"/>
      <c r="X90"/>
      <c r="Y90"/>
      <c r="Z90"/>
      <c r="AA90"/>
      <c r="AB90"/>
    </row>
    <row r="92" spans="1:28" s="1" customFormat="1" ht="12.75" customHeight="1">
      <c r="A92" s="173" t="s">
        <v>245</v>
      </c>
      <c r="B92" s="174"/>
      <c r="C92" s="174"/>
      <c r="D92" s="174"/>
      <c r="E92" s="174"/>
      <c r="F92" s="174"/>
      <c r="G92" s="174"/>
      <c r="H92" s="174"/>
      <c r="Q92"/>
      <c r="R92"/>
      <c r="S92"/>
      <c r="T92"/>
      <c r="U92"/>
      <c r="V92"/>
      <c r="W92"/>
      <c r="X92"/>
      <c r="Y92"/>
      <c r="Z92"/>
      <c r="AA92"/>
      <c r="AB92"/>
    </row>
    <row r="94" spans="1:28" s="1" customFormat="1" ht="58.5" customHeight="1">
      <c r="A94" s="167" t="s">
        <v>246</v>
      </c>
      <c r="B94" s="168"/>
      <c r="C94" s="169" t="s">
        <v>233</v>
      </c>
      <c r="D94" s="170"/>
      <c r="E94" s="170"/>
      <c r="F94" s="170"/>
      <c r="G94" s="170"/>
      <c r="H94" s="170"/>
      <c r="Q94"/>
      <c r="R94"/>
      <c r="S94"/>
      <c r="T94"/>
      <c r="U94"/>
      <c r="V94"/>
      <c r="W94"/>
      <c r="X94"/>
      <c r="Y94"/>
      <c r="Z94"/>
      <c r="AA94"/>
      <c r="AB94"/>
    </row>
    <row r="95" spans="1:28" s="1" customFormat="1" ht="91.5" customHeight="1" thickBot="1">
      <c r="A95" s="13" t="s">
        <v>3</v>
      </c>
      <c r="B95" s="13" t="s">
        <v>4</v>
      </c>
      <c r="C95" s="13" t="s">
        <v>0</v>
      </c>
      <c r="D95" s="13" t="s">
        <v>1</v>
      </c>
      <c r="E95" s="13" t="s">
        <v>5</v>
      </c>
      <c r="F95" s="14" t="s">
        <v>46</v>
      </c>
      <c r="G95" s="14" t="s">
        <v>225</v>
      </c>
      <c r="H95" s="14" t="s">
        <v>49</v>
      </c>
      <c r="Q95"/>
      <c r="R95"/>
      <c r="S95"/>
      <c r="T95"/>
      <c r="U95"/>
      <c r="V95"/>
      <c r="W95"/>
      <c r="X95"/>
      <c r="Y95"/>
      <c r="Z95"/>
      <c r="AA95"/>
      <c r="AB95"/>
    </row>
    <row r="96" spans="1:28" s="1" customFormat="1" ht="13.5" thickBot="1">
      <c r="A96" s="3" t="s">
        <v>26</v>
      </c>
      <c r="B96" s="59">
        <v>4</v>
      </c>
      <c r="C96" s="2">
        <f>B5</f>
        <v>4570</v>
      </c>
      <c r="D96" s="26">
        <v>0.03</v>
      </c>
      <c r="E96" s="64">
        <f aca="true" t="shared" si="11" ref="E96:E103">C96*D96/1000</f>
        <v>0.1371</v>
      </c>
      <c r="F96" s="64">
        <f>M8</f>
        <v>70.35127892813641</v>
      </c>
      <c r="G96" s="54">
        <f>E96*F96*1.42*1.15*1.302</f>
        <v>20.507211981683604</v>
      </c>
      <c r="H96" s="11"/>
      <c r="J96"/>
      <c r="K96" s="20"/>
      <c r="L96" s="20"/>
      <c r="M96" s="21"/>
      <c r="N96"/>
      <c r="O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" customFormat="1" ht="13.5" thickBot="1">
      <c r="A97" s="3" t="s">
        <v>27</v>
      </c>
      <c r="B97" s="59">
        <v>3</v>
      </c>
      <c r="C97" s="2">
        <f>C96</f>
        <v>4570</v>
      </c>
      <c r="D97" s="26">
        <v>0.09</v>
      </c>
      <c r="E97" s="64">
        <f t="shared" si="11"/>
        <v>0.4113</v>
      </c>
      <c r="F97" s="64">
        <f>M7</f>
        <v>62.24799025578562</v>
      </c>
      <c r="G97" s="54">
        <f>E97*F97*1.42*1.15*1.302</f>
        <v>54.435374213160145</v>
      </c>
      <c r="H97" s="11"/>
      <c r="J97"/>
      <c r="K97" s="20"/>
      <c r="L97" s="20"/>
      <c r="M97" s="21"/>
      <c r="N97"/>
      <c r="O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" customFormat="1" ht="13.5" thickBot="1">
      <c r="A98" s="3" t="s">
        <v>26</v>
      </c>
      <c r="B98" s="59">
        <v>2</v>
      </c>
      <c r="C98" s="2">
        <f>C96</f>
        <v>4570</v>
      </c>
      <c r="D98" s="26">
        <v>0.06</v>
      </c>
      <c r="E98" s="64">
        <f t="shared" si="11"/>
        <v>0.2742</v>
      </c>
      <c r="F98" s="64">
        <f>M6</f>
        <v>47.88306942752741</v>
      </c>
      <c r="G98" s="54">
        <f>E98*F98*1.42*1.15*1.302</f>
        <v>27.915576519569303</v>
      </c>
      <c r="H98" s="11"/>
      <c r="J98"/>
      <c r="K98" s="20"/>
      <c r="L98" s="20"/>
      <c r="M98" s="21"/>
      <c r="N98"/>
      <c r="O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" customFormat="1" ht="13.5" thickBot="1">
      <c r="A99" s="3" t="s">
        <v>26</v>
      </c>
      <c r="B99" s="59">
        <v>1</v>
      </c>
      <c r="C99" s="2">
        <f>C96</f>
        <v>4570</v>
      </c>
      <c r="D99" s="26">
        <v>0.03</v>
      </c>
      <c r="E99" s="64">
        <f t="shared" si="11"/>
        <v>0.1371</v>
      </c>
      <c r="F99" s="64">
        <f>M5</f>
        <v>36.833130328867234</v>
      </c>
      <c r="G99" s="54">
        <f>E99*F99*1.42*1.15*1.302</f>
        <v>10.736760199834348</v>
      </c>
      <c r="H99" s="11"/>
      <c r="J99"/>
      <c r="K99" s="20"/>
      <c r="L99" s="20"/>
      <c r="M99" s="21"/>
      <c r="N99"/>
      <c r="O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" customFormat="1" ht="13.5" thickBot="1">
      <c r="A100" s="3" t="s">
        <v>28</v>
      </c>
      <c r="B100" s="59">
        <v>1</v>
      </c>
      <c r="C100" s="2">
        <f>C96</f>
        <v>4570</v>
      </c>
      <c r="D100" s="26">
        <v>0.03</v>
      </c>
      <c r="E100" s="64">
        <f t="shared" si="11"/>
        <v>0.1371</v>
      </c>
      <c r="F100" s="64">
        <f>M5</f>
        <v>36.833130328867234</v>
      </c>
      <c r="G100" s="54">
        <f>E100*F100*1.42*1.15*1.302</f>
        <v>10.736760199834348</v>
      </c>
      <c r="H100" s="11"/>
      <c r="J100"/>
      <c r="K100" s="20"/>
      <c r="L100" s="20"/>
      <c r="M100" s="21"/>
      <c r="N100"/>
      <c r="O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1" customFormat="1" ht="13.5" thickBot="1">
      <c r="A101" s="9" t="s">
        <v>11</v>
      </c>
      <c r="B101" s="10" t="s">
        <v>42</v>
      </c>
      <c r="C101" s="10" t="s">
        <v>0</v>
      </c>
      <c r="D101" s="10" t="s">
        <v>1</v>
      </c>
      <c r="E101" s="10" t="s">
        <v>43</v>
      </c>
      <c r="F101" s="10" t="s">
        <v>47</v>
      </c>
      <c r="G101" s="12" t="s">
        <v>145</v>
      </c>
      <c r="H101" s="12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1" customFormat="1" ht="15.75" thickBot="1">
      <c r="A102" s="4" t="s">
        <v>29</v>
      </c>
      <c r="B102" s="26" t="s">
        <v>44</v>
      </c>
      <c r="C102" s="2">
        <f>C96</f>
        <v>4570</v>
      </c>
      <c r="D102" s="5">
        <v>3.73</v>
      </c>
      <c r="E102" s="64">
        <f t="shared" si="11"/>
        <v>17.0461</v>
      </c>
      <c r="F102" s="78">
        <v>936</v>
      </c>
      <c r="G102" s="54">
        <f>E102*F102</f>
        <v>15955.149599999999</v>
      </c>
      <c r="H102" s="2"/>
      <c r="J102"/>
      <c r="K102" s="20"/>
      <c r="L102" s="20"/>
      <c r="M102" s="21"/>
      <c r="N102"/>
      <c r="O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1" customFormat="1" ht="13.5" thickBot="1">
      <c r="A103" s="4" t="s">
        <v>144</v>
      </c>
      <c r="B103" s="26" t="s">
        <v>30</v>
      </c>
      <c r="C103" s="2">
        <f>C96</f>
        <v>4570</v>
      </c>
      <c r="D103" s="5">
        <v>0.02</v>
      </c>
      <c r="E103" s="64">
        <f t="shared" si="11"/>
        <v>0.09140000000000001</v>
      </c>
      <c r="F103" s="78">
        <v>12000</v>
      </c>
      <c r="G103" s="54">
        <f>E103*F103</f>
        <v>1096.8000000000002</v>
      </c>
      <c r="H103" s="2"/>
      <c r="J103"/>
      <c r="K103" s="20"/>
      <c r="L103" s="20"/>
      <c r="M103" s="21"/>
      <c r="N103"/>
      <c r="O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1" customFormat="1" ht="13.5" thickBot="1">
      <c r="A104" s="4" t="s">
        <v>209</v>
      </c>
      <c r="B104" s="26"/>
      <c r="C104" s="2"/>
      <c r="D104" s="5"/>
      <c r="E104" s="64"/>
      <c r="F104" s="78"/>
      <c r="G104" s="54">
        <f>(E96+E97+E98+E99+E100)*спецодежда!G14</f>
        <v>1.9323826060954477</v>
      </c>
      <c r="H104" s="2"/>
      <c r="J104"/>
      <c r="K104" s="20"/>
      <c r="L104" s="20"/>
      <c r="M104" s="21"/>
      <c r="N104"/>
      <c r="O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1" customFormat="1" ht="15">
      <c r="A105" s="9" t="s">
        <v>48</v>
      </c>
      <c r="B105" s="10"/>
      <c r="C105" s="10"/>
      <c r="D105" s="10"/>
      <c r="E105" s="10"/>
      <c r="F105" s="10"/>
      <c r="G105" s="66">
        <f>G96+G97+G98+G99+G100+G102+G103+G104</f>
        <v>17178.213665720177</v>
      </c>
      <c r="H105" s="41">
        <f>G105/B5/12</f>
        <v>0.31324240820058674</v>
      </c>
      <c r="J105"/>
      <c r="N105"/>
      <c r="O105"/>
      <c r="Q105"/>
      <c r="R105"/>
      <c r="S105"/>
      <c r="T105"/>
      <c r="U105"/>
      <c r="V105"/>
      <c r="W105"/>
      <c r="X105"/>
      <c r="Y105"/>
      <c r="Z105"/>
      <c r="AA105"/>
      <c r="AB105"/>
    </row>
    <row r="107" spans="1:28" s="1" customFormat="1" ht="45" customHeight="1">
      <c r="A107" s="167" t="s">
        <v>247</v>
      </c>
      <c r="B107" s="168"/>
      <c r="C107" s="169" t="s">
        <v>259</v>
      </c>
      <c r="D107" s="170"/>
      <c r="E107" s="170"/>
      <c r="F107" s="170"/>
      <c r="G107" s="170"/>
      <c r="H107" s="170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1" customFormat="1" ht="91.5" customHeight="1" thickBot="1">
      <c r="A108" s="13" t="s">
        <v>3</v>
      </c>
      <c r="B108" s="13" t="s">
        <v>4</v>
      </c>
      <c r="C108" s="13" t="s">
        <v>0</v>
      </c>
      <c r="D108" s="13" t="s">
        <v>1</v>
      </c>
      <c r="E108" s="13" t="s">
        <v>5</v>
      </c>
      <c r="F108" s="14" t="s">
        <v>46</v>
      </c>
      <c r="G108" s="14" t="s">
        <v>225</v>
      </c>
      <c r="H108" s="14" t="s">
        <v>49</v>
      </c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1" customFormat="1" ht="13.5" thickBot="1">
      <c r="A109" s="3" t="s">
        <v>32</v>
      </c>
      <c r="B109" s="59">
        <v>4</v>
      </c>
      <c r="C109" s="2">
        <f>B5</f>
        <v>4570</v>
      </c>
      <c r="D109" s="26">
        <v>2.52</v>
      </c>
      <c r="E109" s="64">
        <f>C109*D109/1000</f>
        <v>11.516399999999999</v>
      </c>
      <c r="F109" s="64">
        <f>M8</f>
        <v>70.35127892813641</v>
      </c>
      <c r="G109" s="54">
        <f>E109*F109*1.42*1.15*1.302</f>
        <v>1722.6058064614226</v>
      </c>
      <c r="H109" s="11"/>
      <c r="J109"/>
      <c r="K109" s="20"/>
      <c r="L109" s="20"/>
      <c r="M109" s="21"/>
      <c r="N109"/>
      <c r="O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1" customFormat="1" ht="13.5" thickBot="1">
      <c r="A110" s="9" t="s">
        <v>11</v>
      </c>
      <c r="B110" s="10" t="s">
        <v>42</v>
      </c>
      <c r="C110" s="10" t="s">
        <v>0</v>
      </c>
      <c r="D110" s="10" t="s">
        <v>1</v>
      </c>
      <c r="E110" s="10" t="s">
        <v>43</v>
      </c>
      <c r="F110" s="10" t="s">
        <v>47</v>
      </c>
      <c r="G110" s="12" t="s">
        <v>145</v>
      </c>
      <c r="H110" s="12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1" customFormat="1" ht="15.75" thickBot="1">
      <c r="A111" s="4" t="s">
        <v>33</v>
      </c>
      <c r="B111" s="26" t="s">
        <v>45</v>
      </c>
      <c r="C111" s="2">
        <f>C109</f>
        <v>4570</v>
      </c>
      <c r="D111" s="5">
        <v>4.7</v>
      </c>
      <c r="E111" s="64">
        <f>C111*D111/1000</f>
        <v>21.479</v>
      </c>
      <c r="F111" s="78">
        <v>140</v>
      </c>
      <c r="G111" s="54">
        <f>E111*F111</f>
        <v>3007.06</v>
      </c>
      <c r="H111" s="2"/>
      <c r="J111"/>
      <c r="K111" s="20"/>
      <c r="L111" s="20"/>
      <c r="M111" s="21"/>
      <c r="N111"/>
      <c r="O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1" customFormat="1" ht="13.5" thickBot="1">
      <c r="A112" s="4" t="s">
        <v>34</v>
      </c>
      <c r="B112" s="26" t="s">
        <v>36</v>
      </c>
      <c r="C112" s="2">
        <f>C109</f>
        <v>4570</v>
      </c>
      <c r="D112" s="5">
        <v>0.98</v>
      </c>
      <c r="E112" s="64">
        <f>C112*D112/1000</f>
        <v>4.4786</v>
      </c>
      <c r="F112" s="78">
        <v>24.25</v>
      </c>
      <c r="G112" s="54">
        <f>E112*F112</f>
        <v>108.60605000000001</v>
      </c>
      <c r="H112" s="2"/>
      <c r="J112"/>
      <c r="K112" s="20"/>
      <c r="L112" s="20"/>
      <c r="M112" s="21"/>
      <c r="N112"/>
      <c r="O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1" customFormat="1" ht="13.5" thickBot="1">
      <c r="A113" s="4" t="s">
        <v>35</v>
      </c>
      <c r="B113" s="26" t="s">
        <v>37</v>
      </c>
      <c r="C113" s="2">
        <f>C109</f>
        <v>4570</v>
      </c>
      <c r="D113" s="5">
        <v>19.66</v>
      </c>
      <c r="E113" s="64">
        <f>C113*D113/1000</f>
        <v>89.8462</v>
      </c>
      <c r="F113" s="78">
        <v>15</v>
      </c>
      <c r="G113" s="54">
        <f>E113*F113</f>
        <v>1347.693</v>
      </c>
      <c r="H113" s="2"/>
      <c r="J113"/>
      <c r="K113" s="20"/>
      <c r="L113" s="20"/>
      <c r="M113" s="21"/>
      <c r="N113"/>
      <c r="O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1" customFormat="1" ht="13.5" thickBot="1">
      <c r="A114" s="4" t="s">
        <v>209</v>
      </c>
      <c r="B114" s="26"/>
      <c r="C114" s="2"/>
      <c r="D114" s="5"/>
      <c r="E114" s="64"/>
      <c r="F114" s="78"/>
      <c r="G114" s="54">
        <f>E109*спецодежда!G14</f>
        <v>20.2900173640022</v>
      </c>
      <c r="H114" s="2"/>
      <c r="J114"/>
      <c r="K114" s="20"/>
      <c r="L114" s="20"/>
      <c r="M114" s="21"/>
      <c r="N114"/>
      <c r="O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1" customFormat="1" ht="15">
      <c r="A115" s="9" t="s">
        <v>48</v>
      </c>
      <c r="B115" s="10"/>
      <c r="C115" s="10"/>
      <c r="D115" s="10"/>
      <c r="E115" s="10"/>
      <c r="F115" s="10"/>
      <c r="G115" s="66">
        <f>G109+G111+G112+G113+G114</f>
        <v>6206.2548738254245</v>
      </c>
      <c r="H115" s="41">
        <f>G115/B5/12</f>
        <v>0.1131702201645774</v>
      </c>
      <c r="J115"/>
      <c r="N115"/>
      <c r="O115"/>
      <c r="Q115"/>
      <c r="R115"/>
      <c r="S115"/>
      <c r="T115"/>
      <c r="U115"/>
      <c r="V115"/>
      <c r="W115"/>
      <c r="X115"/>
      <c r="Y115"/>
      <c r="Z115"/>
      <c r="AA115"/>
      <c r="AB115"/>
    </row>
    <row r="117" spans="1:28" s="1" customFormat="1" ht="125.25" customHeight="1">
      <c r="A117" s="167" t="s">
        <v>248</v>
      </c>
      <c r="B117" s="168"/>
      <c r="C117" s="169" t="s">
        <v>260</v>
      </c>
      <c r="D117" s="170"/>
      <c r="E117" s="170"/>
      <c r="F117" s="170"/>
      <c r="G117" s="170"/>
      <c r="H117" s="170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1" customFormat="1" ht="91.5" customHeight="1" thickBot="1">
      <c r="A118" s="13" t="s">
        <v>3</v>
      </c>
      <c r="B118" s="13" t="s">
        <v>4</v>
      </c>
      <c r="C118" s="13" t="s">
        <v>0</v>
      </c>
      <c r="D118" s="13" t="s">
        <v>1</v>
      </c>
      <c r="E118" s="13" t="s">
        <v>5</v>
      </c>
      <c r="F118" s="14" t="s">
        <v>46</v>
      </c>
      <c r="G118" s="14" t="s">
        <v>225</v>
      </c>
      <c r="H118" s="14" t="s">
        <v>49</v>
      </c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1" customFormat="1" ht="13.5" thickBot="1">
      <c r="A119" s="3" t="s">
        <v>63</v>
      </c>
      <c r="B119" s="59">
        <v>3</v>
      </c>
      <c r="C119" s="2">
        <f>B5</f>
        <v>4570</v>
      </c>
      <c r="D119" s="26">
        <v>2.04</v>
      </c>
      <c r="E119" s="64">
        <f aca="true" t="shared" si="12" ref="E119:E129">C119*D119/1000</f>
        <v>9.322799999999999</v>
      </c>
      <c r="F119" s="64">
        <f>M7</f>
        <v>62.24799025578562</v>
      </c>
      <c r="G119" s="54">
        <f>E119*F119*1.24*1.15*1.302</f>
        <v>1077.4626182285592</v>
      </c>
      <c r="H119" s="11"/>
      <c r="J119"/>
      <c r="K119" s="20"/>
      <c r="L119" s="20"/>
      <c r="M119" s="21"/>
      <c r="N119"/>
      <c r="O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1" customFormat="1" ht="13.5" thickBot="1">
      <c r="A120" s="3" t="s">
        <v>64</v>
      </c>
      <c r="B120" s="59">
        <v>3</v>
      </c>
      <c r="C120" s="2">
        <f>C119</f>
        <v>4570</v>
      </c>
      <c r="D120" s="26">
        <v>0.58</v>
      </c>
      <c r="E120" s="64">
        <f t="shared" si="12"/>
        <v>2.6506</v>
      </c>
      <c r="F120" s="64">
        <f>M7</f>
        <v>62.24799025578562</v>
      </c>
      <c r="G120" s="54">
        <f>E120*F120*1.42*1.15*1.302</f>
        <v>350.8057449292542</v>
      </c>
      <c r="H120" s="11"/>
      <c r="J120"/>
      <c r="K120" s="20"/>
      <c r="L120" s="20"/>
      <c r="M120" s="21"/>
      <c r="N120"/>
      <c r="O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1" customFormat="1" ht="13.5" thickBot="1">
      <c r="A121" s="3" t="s">
        <v>65</v>
      </c>
      <c r="B121" s="59">
        <v>3</v>
      </c>
      <c r="C121" s="2">
        <f>C119</f>
        <v>4570</v>
      </c>
      <c r="D121" s="26">
        <v>0.16</v>
      </c>
      <c r="E121" s="64">
        <f t="shared" si="12"/>
        <v>0.7312000000000001</v>
      </c>
      <c r="F121" s="64">
        <f>M7</f>
        <v>62.24799025578562</v>
      </c>
      <c r="G121" s="54">
        <f>E121*F121*1.42*1.15*1.302</f>
        <v>96.77399860117357</v>
      </c>
      <c r="H121" s="11"/>
      <c r="J121"/>
      <c r="K121" s="20"/>
      <c r="L121" s="20"/>
      <c r="M121" s="21"/>
      <c r="N121"/>
      <c r="O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1" customFormat="1" ht="13.5" thickBot="1">
      <c r="A122" s="9" t="s">
        <v>11</v>
      </c>
      <c r="B122" s="10" t="s">
        <v>42</v>
      </c>
      <c r="C122" s="10" t="s">
        <v>0</v>
      </c>
      <c r="D122" s="10" t="s">
        <v>1</v>
      </c>
      <c r="E122" s="10" t="s">
        <v>43</v>
      </c>
      <c r="F122" s="10" t="s">
        <v>47</v>
      </c>
      <c r="G122" s="12" t="s">
        <v>145</v>
      </c>
      <c r="H122" s="1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1" customFormat="1" ht="13.5" thickBot="1">
      <c r="A123" s="4" t="s">
        <v>66</v>
      </c>
      <c r="B123" s="26" t="s">
        <v>69</v>
      </c>
      <c r="C123" s="2">
        <f>C119</f>
        <v>4570</v>
      </c>
      <c r="D123" s="5">
        <v>0.09</v>
      </c>
      <c r="E123" s="64">
        <f t="shared" si="12"/>
        <v>0.4113</v>
      </c>
      <c r="F123" s="78">
        <v>53.35</v>
      </c>
      <c r="G123" s="54">
        <f>E123*F123</f>
        <v>21.942855</v>
      </c>
      <c r="H123" s="2"/>
      <c r="J123"/>
      <c r="K123" s="20"/>
      <c r="L123" s="20"/>
      <c r="M123" s="21"/>
      <c r="N123"/>
      <c r="O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s="1" customFormat="1" ht="13.5" thickBot="1">
      <c r="A124" s="4" t="s">
        <v>67</v>
      </c>
      <c r="B124" s="26" t="s">
        <v>62</v>
      </c>
      <c r="C124" s="2">
        <f>C119</f>
        <v>4570</v>
      </c>
      <c r="D124" s="5">
        <v>0.2</v>
      </c>
      <c r="E124" s="64">
        <f t="shared" si="12"/>
        <v>0.914</v>
      </c>
      <c r="F124" s="78">
        <v>24.25</v>
      </c>
      <c r="G124" s="54">
        <f aca="true" t="shared" si="13" ref="G124:G129">E124*F124</f>
        <v>22.1645</v>
      </c>
      <c r="H124" s="2"/>
      <c r="J124"/>
      <c r="K124" s="20"/>
      <c r="L124" s="20"/>
      <c r="M124" s="21"/>
      <c r="N124"/>
      <c r="O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s="1" customFormat="1" ht="13.5" thickBot="1">
      <c r="A125" s="4" t="s">
        <v>68</v>
      </c>
      <c r="B125" s="26" t="s">
        <v>62</v>
      </c>
      <c r="C125" s="2">
        <f>C119</f>
        <v>4570</v>
      </c>
      <c r="D125" s="5">
        <v>0.16</v>
      </c>
      <c r="E125" s="64">
        <f t="shared" si="12"/>
        <v>0.7312000000000001</v>
      </c>
      <c r="F125" s="78">
        <v>50.4</v>
      </c>
      <c r="G125" s="54">
        <f t="shared" si="13"/>
        <v>36.85248</v>
      </c>
      <c r="H125" s="2"/>
      <c r="J125"/>
      <c r="K125" s="20"/>
      <c r="L125" s="20"/>
      <c r="M125" s="21"/>
      <c r="N125"/>
      <c r="O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s="1" customFormat="1" ht="13.5" thickBot="1">
      <c r="A126" s="4" t="s">
        <v>226</v>
      </c>
      <c r="B126" s="26" t="s">
        <v>36</v>
      </c>
      <c r="C126" s="2">
        <f>C119</f>
        <v>4570</v>
      </c>
      <c r="D126" s="5">
        <v>0.091</v>
      </c>
      <c r="E126" s="64">
        <f t="shared" si="12"/>
        <v>0.41587</v>
      </c>
      <c r="F126" s="78">
        <v>130.95</v>
      </c>
      <c r="G126" s="54">
        <f t="shared" si="13"/>
        <v>54.4581765</v>
      </c>
      <c r="H126" s="2"/>
      <c r="J126"/>
      <c r="K126" s="20"/>
      <c r="L126" s="20"/>
      <c r="M126" s="21"/>
      <c r="N126"/>
      <c r="O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s="1" customFormat="1" ht="13.5" thickBot="1">
      <c r="A127" s="4" t="s">
        <v>70</v>
      </c>
      <c r="B127" s="26" t="s">
        <v>73</v>
      </c>
      <c r="C127" s="2">
        <f>C119</f>
        <v>4570</v>
      </c>
      <c r="D127" s="5">
        <v>0.026</v>
      </c>
      <c r="E127" s="64">
        <f t="shared" si="12"/>
        <v>0.11882</v>
      </c>
      <c r="F127" s="78">
        <v>111.55</v>
      </c>
      <c r="G127" s="54">
        <f t="shared" si="13"/>
        <v>13.254370999999999</v>
      </c>
      <c r="H127" s="2"/>
      <c r="J127"/>
      <c r="K127" s="20"/>
      <c r="L127" s="20"/>
      <c r="M127" s="21"/>
      <c r="N127"/>
      <c r="O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1" customFormat="1" ht="13.5" thickBot="1">
      <c r="A128" s="4" t="s">
        <v>71</v>
      </c>
      <c r="B128" s="26" t="s">
        <v>36</v>
      </c>
      <c r="C128" s="2">
        <f>C119</f>
        <v>4570</v>
      </c>
      <c r="D128" s="5">
        <v>0.009</v>
      </c>
      <c r="E128" s="64">
        <f t="shared" si="12"/>
        <v>0.04112999999999999</v>
      </c>
      <c r="F128" s="78">
        <v>159.08</v>
      </c>
      <c r="G128" s="54">
        <f t="shared" si="13"/>
        <v>6.542960399999999</v>
      </c>
      <c r="H128" s="2"/>
      <c r="J128"/>
      <c r="K128" s="20"/>
      <c r="L128" s="20"/>
      <c r="M128" s="21"/>
      <c r="N128"/>
      <c r="O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s="1" customFormat="1" ht="13.5" thickBot="1">
      <c r="A129" s="4" t="s">
        <v>72</v>
      </c>
      <c r="B129" s="26" t="s">
        <v>36</v>
      </c>
      <c r="C129" s="2">
        <f>C119</f>
        <v>4570</v>
      </c>
      <c r="D129" s="5">
        <v>0.02</v>
      </c>
      <c r="E129" s="64">
        <f t="shared" si="12"/>
        <v>0.09140000000000001</v>
      </c>
      <c r="F129" s="78">
        <v>140</v>
      </c>
      <c r="G129" s="54">
        <f t="shared" si="13"/>
        <v>12.796000000000001</v>
      </c>
      <c r="H129" s="2"/>
      <c r="J129"/>
      <c r="K129" s="20"/>
      <c r="L129" s="20"/>
      <c r="M129" s="21"/>
      <c r="N129"/>
      <c r="O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s="1" customFormat="1" ht="13.5" thickBot="1">
      <c r="A130" s="4" t="s">
        <v>209</v>
      </c>
      <c r="B130" s="26"/>
      <c r="C130" s="2"/>
      <c r="D130" s="5"/>
      <c r="E130" s="64"/>
      <c r="F130" s="78"/>
      <c r="G130" s="54">
        <f>(E119+E120)*спецодежда!G14+'5 эт.'!E121*спецодежда!G83</f>
        <v>23.402158627237768</v>
      </c>
      <c r="H130" s="2"/>
      <c r="J130"/>
      <c r="K130" s="20"/>
      <c r="L130" s="20"/>
      <c r="M130" s="21"/>
      <c r="N130"/>
      <c r="O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15" ht="15">
      <c r="A131" s="9" t="s">
        <v>48</v>
      </c>
      <c r="B131" s="10"/>
      <c r="C131" s="10"/>
      <c r="D131" s="10"/>
      <c r="E131" s="10"/>
      <c r="F131" s="10"/>
      <c r="G131" s="66">
        <f>G119+G120+G121+G123+G124+G125+G126+G127+G128+G129+G130</f>
        <v>1716.455863286225</v>
      </c>
      <c r="H131" s="41">
        <f>G131/B5/12</f>
        <v>0.03129934105190053</v>
      </c>
      <c r="J131"/>
      <c r="N131"/>
      <c r="O131"/>
    </row>
    <row r="132" spans="1:16" s="31" customFormat="1" ht="12.75">
      <c r="A132" s="27"/>
      <c r="B132" s="28"/>
      <c r="C132" s="28"/>
      <c r="D132" s="28"/>
      <c r="E132" s="28"/>
      <c r="F132" s="28"/>
      <c r="G132" s="29"/>
      <c r="H132" s="29"/>
      <c r="I132" s="30"/>
      <c r="J132" s="30"/>
      <c r="K132" s="1"/>
      <c r="L132" s="1"/>
      <c r="M132" s="1"/>
      <c r="N132" s="30"/>
      <c r="O132" s="30"/>
      <c r="P132" s="30"/>
    </row>
    <row r="133" spans="1:8" ht="42" customHeight="1">
      <c r="A133" s="167" t="s">
        <v>261</v>
      </c>
      <c r="B133" s="168"/>
      <c r="C133" s="169" t="s">
        <v>262</v>
      </c>
      <c r="D133" s="170"/>
      <c r="E133" s="170"/>
      <c r="F133" s="170"/>
      <c r="G133" s="170"/>
      <c r="H133" s="170"/>
    </row>
    <row r="134" spans="1:8" ht="91.5" customHeight="1" thickBot="1">
      <c r="A134" s="13" t="s">
        <v>3</v>
      </c>
      <c r="B134" s="13" t="s">
        <v>4</v>
      </c>
      <c r="C134" s="13" t="s">
        <v>0</v>
      </c>
      <c r="D134" s="13" t="s">
        <v>1</v>
      </c>
      <c r="E134" s="13" t="s">
        <v>5</v>
      </c>
      <c r="F134" s="14" t="s">
        <v>46</v>
      </c>
      <c r="G134" s="14" t="s">
        <v>225</v>
      </c>
      <c r="H134" s="14" t="s">
        <v>49</v>
      </c>
    </row>
    <row r="135" spans="1:15" ht="13.5" thickBot="1">
      <c r="A135" s="3" t="s">
        <v>105</v>
      </c>
      <c r="B135" s="59">
        <v>3</v>
      </c>
      <c r="C135" s="2">
        <f>B5</f>
        <v>4570</v>
      </c>
      <c r="D135" s="26">
        <v>0.18</v>
      </c>
      <c r="E135" s="64">
        <f>C135*D135/1000</f>
        <v>0.8226</v>
      </c>
      <c r="F135" s="64">
        <f>M7</f>
        <v>62.24799025578562</v>
      </c>
      <c r="G135" s="54">
        <f>E135*F135*1.42*1.15*1.302</f>
        <v>108.87074842632029</v>
      </c>
      <c r="H135" s="11"/>
      <c r="J135"/>
      <c r="K135" s="20"/>
      <c r="L135" s="20"/>
      <c r="M135" s="21"/>
      <c r="N135"/>
      <c r="O135"/>
    </row>
    <row r="136" spans="1:15" ht="13.5" thickBot="1">
      <c r="A136" s="3" t="s">
        <v>106</v>
      </c>
      <c r="B136" s="59">
        <v>3</v>
      </c>
      <c r="C136" s="2">
        <f>B5</f>
        <v>4570</v>
      </c>
      <c r="D136" s="26">
        <v>0.08</v>
      </c>
      <c r="E136" s="64">
        <f>C136*D136/1000</f>
        <v>0.36560000000000004</v>
      </c>
      <c r="F136" s="64">
        <f>M7</f>
        <v>62.24799025578562</v>
      </c>
      <c r="G136" s="54">
        <f>E136*F136*1.42*1.15*1.302</f>
        <v>48.38699930058679</v>
      </c>
      <c r="H136" s="11"/>
      <c r="J136"/>
      <c r="K136" s="20"/>
      <c r="L136" s="20"/>
      <c r="M136" s="21"/>
      <c r="N136"/>
      <c r="O136"/>
    </row>
    <row r="137" spans="1:8" ht="13.5" thickBot="1">
      <c r="A137" s="9" t="s">
        <v>11</v>
      </c>
      <c r="B137" s="10" t="s">
        <v>42</v>
      </c>
      <c r="C137" s="10" t="s">
        <v>0</v>
      </c>
      <c r="D137" s="10" t="s">
        <v>1</v>
      </c>
      <c r="E137" s="10" t="s">
        <v>43</v>
      </c>
      <c r="F137" s="10" t="s">
        <v>47</v>
      </c>
      <c r="G137" s="12" t="s">
        <v>145</v>
      </c>
      <c r="H137" s="12"/>
    </row>
    <row r="138" spans="1:15" ht="15" thickBot="1">
      <c r="A138" s="4" t="s">
        <v>107</v>
      </c>
      <c r="B138" s="26" t="s">
        <v>102</v>
      </c>
      <c r="C138" s="2">
        <f>C135</f>
        <v>4570</v>
      </c>
      <c r="D138" s="5">
        <v>0.002</v>
      </c>
      <c r="E138" s="64">
        <f>C138*D138/1000</f>
        <v>0.00914</v>
      </c>
      <c r="F138" s="78">
        <v>3100</v>
      </c>
      <c r="G138" s="54">
        <f>E138*F138</f>
        <v>28.334000000000003</v>
      </c>
      <c r="H138" s="2"/>
      <c r="J138"/>
      <c r="K138" s="20"/>
      <c r="L138" s="20"/>
      <c r="M138" s="21"/>
      <c r="N138"/>
      <c r="O138"/>
    </row>
    <row r="139" spans="1:15" ht="13.5" thickBot="1">
      <c r="A139" s="4" t="s">
        <v>108</v>
      </c>
      <c r="B139" s="26" t="s">
        <v>36</v>
      </c>
      <c r="C139" s="2">
        <f>C135</f>
        <v>4570</v>
      </c>
      <c r="D139" s="5">
        <v>0.043</v>
      </c>
      <c r="E139" s="64">
        <f>C139*D139/1000</f>
        <v>0.19651</v>
      </c>
      <c r="F139" s="78">
        <v>130</v>
      </c>
      <c r="G139" s="54">
        <f>E139*F139</f>
        <v>25.5463</v>
      </c>
      <c r="H139" s="2"/>
      <c r="J139"/>
      <c r="K139" s="20"/>
      <c r="L139" s="20"/>
      <c r="M139" s="21"/>
      <c r="N139"/>
      <c r="O139"/>
    </row>
    <row r="140" spans="1:15" ht="13.5" thickBot="1">
      <c r="A140" s="4" t="s">
        <v>209</v>
      </c>
      <c r="B140" s="26"/>
      <c r="C140" s="2"/>
      <c r="D140" s="5"/>
      <c r="E140" s="64"/>
      <c r="F140" s="78"/>
      <c r="G140" s="54">
        <f>(E135+E136)*спецодежда!G83</f>
        <v>3.7488454965473412</v>
      </c>
      <c r="H140" s="2"/>
      <c r="J140"/>
      <c r="K140" s="20"/>
      <c r="L140" s="20"/>
      <c r="M140" s="21"/>
      <c r="N140"/>
      <c r="O140"/>
    </row>
    <row r="141" spans="1:15" ht="15">
      <c r="A141" s="9" t="s">
        <v>48</v>
      </c>
      <c r="B141" s="10"/>
      <c r="C141" s="10"/>
      <c r="D141" s="10"/>
      <c r="E141" s="10"/>
      <c r="F141" s="10"/>
      <c r="G141" s="66">
        <f>G135+G136+G138+G139+G140</f>
        <v>214.88689322345442</v>
      </c>
      <c r="H141" s="41">
        <f>G141/B5</f>
        <v>0.04702120201826136</v>
      </c>
      <c r="J141"/>
      <c r="N141"/>
      <c r="O141"/>
    </row>
    <row r="142" spans="1:16" s="31" customFormat="1" ht="12.75">
      <c r="A142" s="27"/>
      <c r="B142" s="28"/>
      <c r="C142" s="28"/>
      <c r="D142" s="28"/>
      <c r="E142" s="28"/>
      <c r="F142" s="28"/>
      <c r="G142" s="29"/>
      <c r="H142" s="29"/>
      <c r="I142" s="30"/>
      <c r="J142" s="30"/>
      <c r="K142" s="1"/>
      <c r="L142" s="1"/>
      <c r="M142" s="1"/>
      <c r="N142" s="30"/>
      <c r="O142" s="30"/>
      <c r="P142" s="30"/>
    </row>
    <row r="143" spans="1:8" ht="39.75" customHeight="1">
      <c r="A143" s="167" t="s">
        <v>249</v>
      </c>
      <c r="B143" s="168"/>
      <c r="C143" s="175" t="s">
        <v>230</v>
      </c>
      <c r="D143" s="176"/>
      <c r="E143" s="176"/>
      <c r="F143" s="176"/>
      <c r="G143" s="176"/>
      <c r="H143" s="176"/>
    </row>
    <row r="144" spans="1:8" ht="91.5" customHeight="1" thickBot="1">
      <c r="A144" s="13" t="s">
        <v>3</v>
      </c>
      <c r="B144" s="13" t="s">
        <v>4</v>
      </c>
      <c r="C144" s="13" t="s">
        <v>0</v>
      </c>
      <c r="D144" s="13" t="s">
        <v>1</v>
      </c>
      <c r="E144" s="13" t="s">
        <v>5</v>
      </c>
      <c r="F144" s="14" t="s">
        <v>46</v>
      </c>
      <c r="G144" s="14" t="s">
        <v>225</v>
      </c>
      <c r="H144" s="14" t="s">
        <v>49</v>
      </c>
    </row>
    <row r="145" spans="1:15" ht="13.5" thickBot="1">
      <c r="A145" s="3" t="s">
        <v>25</v>
      </c>
      <c r="B145" s="59">
        <v>4</v>
      </c>
      <c r="C145" s="2">
        <f>B5</f>
        <v>4570</v>
      </c>
      <c r="D145" s="26">
        <f>53.5*2.8</f>
        <v>149.79999999999998</v>
      </c>
      <c r="E145" s="64">
        <f aca="true" t="shared" si="14" ref="E145:E174">C145*D145/1000</f>
        <v>684.5859999999999</v>
      </c>
      <c r="F145" s="64">
        <f>M8</f>
        <v>70.35127892813641</v>
      </c>
      <c r="G145" s="54">
        <f>E145*F145*1.42*1.15*1.302</f>
        <v>102399.34516187344</v>
      </c>
      <c r="H145" s="11"/>
      <c r="J145"/>
      <c r="K145" s="20"/>
      <c r="L145" s="20"/>
      <c r="M145" s="21"/>
      <c r="N145"/>
      <c r="O145"/>
    </row>
    <row r="146" spans="1:15" ht="13.5" thickBot="1">
      <c r="A146" s="3" t="s">
        <v>74</v>
      </c>
      <c r="B146" s="59">
        <v>2</v>
      </c>
      <c r="C146" s="2">
        <f>C145</f>
        <v>4570</v>
      </c>
      <c r="D146" s="26">
        <f>5.6*2.8</f>
        <v>15.679999999999998</v>
      </c>
      <c r="E146" s="64">
        <f t="shared" si="14"/>
        <v>71.65759999999999</v>
      </c>
      <c r="F146" s="64">
        <f>M6</f>
        <v>47.88306942752741</v>
      </c>
      <c r="G146" s="54">
        <f>E146*F146*1.42*1.15*1.302</f>
        <v>7295.270663780778</v>
      </c>
      <c r="H146" s="11"/>
      <c r="J146"/>
      <c r="K146" s="20"/>
      <c r="L146" s="20"/>
      <c r="M146" s="21"/>
      <c r="N146"/>
      <c r="O146"/>
    </row>
    <row r="147" spans="1:28" s="1" customFormat="1" ht="13.5" thickBot="1">
      <c r="A147" s="9" t="s">
        <v>11</v>
      </c>
      <c r="B147" s="10" t="s">
        <v>42</v>
      </c>
      <c r="C147" s="10" t="s">
        <v>0</v>
      </c>
      <c r="D147" s="10" t="s">
        <v>1</v>
      </c>
      <c r="E147" s="10" t="s">
        <v>43</v>
      </c>
      <c r="F147" s="10" t="s">
        <v>47</v>
      </c>
      <c r="G147" s="12" t="s">
        <v>145</v>
      </c>
      <c r="H147" s="12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1" customFormat="1" ht="13.5" thickBot="1">
      <c r="A148" s="4" t="s">
        <v>75</v>
      </c>
      <c r="B148" s="26" t="s">
        <v>37</v>
      </c>
      <c r="C148" s="2">
        <f aca="true" t="shared" si="15" ref="C148:C174">$C$145</f>
        <v>4570</v>
      </c>
      <c r="D148" s="5">
        <v>3.33</v>
      </c>
      <c r="E148" s="64">
        <f t="shared" si="14"/>
        <v>15.2181</v>
      </c>
      <c r="F148" s="78">
        <v>46</v>
      </c>
      <c r="G148" s="54">
        <f aca="true" t="shared" si="16" ref="G148:G174">E148*F148</f>
        <v>700.0326</v>
      </c>
      <c r="H148" s="2"/>
      <c r="J148"/>
      <c r="K148" s="20"/>
      <c r="L148" s="20"/>
      <c r="M148" s="21"/>
      <c r="N148"/>
      <c r="O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1" customFormat="1" ht="13.5" thickBot="1">
      <c r="A149" s="4" t="s">
        <v>76</v>
      </c>
      <c r="B149" s="26" t="s">
        <v>62</v>
      </c>
      <c r="C149" s="2">
        <f t="shared" si="15"/>
        <v>4570</v>
      </c>
      <c r="D149" s="5">
        <v>1.89</v>
      </c>
      <c r="E149" s="64">
        <f t="shared" si="14"/>
        <v>8.6373</v>
      </c>
      <c r="F149" s="78">
        <v>101</v>
      </c>
      <c r="G149" s="54">
        <f t="shared" si="16"/>
        <v>872.3673</v>
      </c>
      <c r="H149" s="2"/>
      <c r="J149"/>
      <c r="K149" s="20"/>
      <c r="L149" s="20"/>
      <c r="M149" s="21"/>
      <c r="N149"/>
      <c r="O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1" customFormat="1" ht="13.5" thickBot="1">
      <c r="A150" s="4" t="s">
        <v>77</v>
      </c>
      <c r="B150" s="26" t="s">
        <v>36</v>
      </c>
      <c r="C150" s="2">
        <f t="shared" si="15"/>
        <v>4570</v>
      </c>
      <c r="D150" s="5">
        <v>0.1</v>
      </c>
      <c r="E150" s="64">
        <f t="shared" si="14"/>
        <v>0.457</v>
      </c>
      <c r="F150" s="78">
        <v>33.95</v>
      </c>
      <c r="G150" s="54">
        <f t="shared" si="16"/>
        <v>15.515150000000002</v>
      </c>
      <c r="H150" s="2"/>
      <c r="J150"/>
      <c r="K150" s="20"/>
      <c r="L150" s="20"/>
      <c r="M150" s="21"/>
      <c r="N150"/>
      <c r="O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1" customFormat="1" ht="13.5" thickBot="1">
      <c r="A151" s="4" t="s">
        <v>78</v>
      </c>
      <c r="B151" s="26" t="s">
        <v>36</v>
      </c>
      <c r="C151" s="2">
        <f t="shared" si="15"/>
        <v>4570</v>
      </c>
      <c r="D151" s="5">
        <v>0.04</v>
      </c>
      <c r="E151" s="64">
        <f t="shared" si="14"/>
        <v>0.18280000000000002</v>
      </c>
      <c r="F151" s="78">
        <v>15.48</v>
      </c>
      <c r="G151" s="54">
        <f t="shared" si="16"/>
        <v>2.8297440000000003</v>
      </c>
      <c r="H151" s="2"/>
      <c r="J151"/>
      <c r="K151" s="20"/>
      <c r="L151" s="20"/>
      <c r="M151" s="21"/>
      <c r="N151"/>
      <c r="O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1" customFormat="1" ht="13.5" thickBot="1">
      <c r="A152" s="4" t="s">
        <v>79</v>
      </c>
      <c r="B152" s="26" t="s">
        <v>36</v>
      </c>
      <c r="C152" s="2">
        <f t="shared" si="15"/>
        <v>4570</v>
      </c>
      <c r="D152" s="5">
        <v>0.05</v>
      </c>
      <c r="E152" s="64">
        <f t="shared" si="14"/>
        <v>0.2285</v>
      </c>
      <c r="F152" s="78">
        <v>128.5</v>
      </c>
      <c r="G152" s="54">
        <f t="shared" si="16"/>
        <v>29.36225</v>
      </c>
      <c r="H152" s="2"/>
      <c r="J152"/>
      <c r="K152" s="20"/>
      <c r="L152" s="20"/>
      <c r="M152" s="21"/>
      <c r="N152"/>
      <c r="O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1" customFormat="1" ht="13.5" thickBot="1">
      <c r="A153" s="4" t="s">
        <v>80</v>
      </c>
      <c r="B153" s="26" t="s">
        <v>36</v>
      </c>
      <c r="C153" s="2">
        <f t="shared" si="15"/>
        <v>4570</v>
      </c>
      <c r="D153" s="5">
        <v>1.09</v>
      </c>
      <c r="E153" s="64">
        <f t="shared" si="14"/>
        <v>4.9813</v>
      </c>
      <c r="F153" s="78">
        <v>400.2</v>
      </c>
      <c r="G153" s="54">
        <f t="shared" si="16"/>
        <v>1993.5162599999999</v>
      </c>
      <c r="H153" s="2"/>
      <c r="J153"/>
      <c r="K153" s="20"/>
      <c r="L153" s="20"/>
      <c r="M153" s="21"/>
      <c r="N153"/>
      <c r="O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1" customFormat="1" ht="13.5" thickBot="1">
      <c r="A154" s="4" t="s">
        <v>81</v>
      </c>
      <c r="B154" s="26" t="s">
        <v>36</v>
      </c>
      <c r="C154" s="2">
        <f t="shared" si="15"/>
        <v>4570</v>
      </c>
      <c r="D154" s="5">
        <v>0.02</v>
      </c>
      <c r="E154" s="64">
        <f t="shared" si="14"/>
        <v>0.09140000000000001</v>
      </c>
      <c r="F154" s="78">
        <v>51</v>
      </c>
      <c r="G154" s="54">
        <f t="shared" si="16"/>
        <v>4.6614</v>
      </c>
      <c r="H154" s="2"/>
      <c r="J154"/>
      <c r="K154" s="20"/>
      <c r="L154" s="20"/>
      <c r="M154" s="21"/>
      <c r="N154"/>
      <c r="O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1" customFormat="1" ht="13.5" thickBot="1">
      <c r="A155" s="4" t="s">
        <v>82</v>
      </c>
      <c r="B155" s="26" t="s">
        <v>62</v>
      </c>
      <c r="C155" s="2">
        <f t="shared" si="15"/>
        <v>4570</v>
      </c>
      <c r="D155" s="5">
        <v>0.36</v>
      </c>
      <c r="E155" s="64">
        <f t="shared" si="14"/>
        <v>1.6452</v>
      </c>
      <c r="F155" s="78">
        <v>12000</v>
      </c>
      <c r="G155" s="54">
        <f t="shared" si="16"/>
        <v>19742.4</v>
      </c>
      <c r="H155" s="2"/>
      <c r="J155"/>
      <c r="K155" s="20"/>
      <c r="L155" s="20"/>
      <c r="M155" s="21"/>
      <c r="N155"/>
      <c r="O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s="1" customFormat="1" ht="13.5" thickBot="1">
      <c r="A156" s="4" t="s">
        <v>83</v>
      </c>
      <c r="B156" s="26" t="s">
        <v>36</v>
      </c>
      <c r="C156" s="2">
        <f t="shared" si="15"/>
        <v>4570</v>
      </c>
      <c r="D156" s="5">
        <v>0.95</v>
      </c>
      <c r="E156" s="64">
        <f t="shared" si="14"/>
        <v>4.3415</v>
      </c>
      <c r="F156" s="78">
        <v>82.45</v>
      </c>
      <c r="G156" s="54">
        <f t="shared" si="16"/>
        <v>357.956675</v>
      </c>
      <c r="H156" s="2"/>
      <c r="J156"/>
      <c r="K156" s="20"/>
      <c r="L156" s="20"/>
      <c r="M156" s="21"/>
      <c r="N156"/>
      <c r="O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s="1" customFormat="1" ht="15" thickBot="1">
      <c r="A157" s="4" t="s">
        <v>84</v>
      </c>
      <c r="B157" s="26" t="s">
        <v>102</v>
      </c>
      <c r="C157" s="2">
        <f t="shared" si="15"/>
        <v>4570</v>
      </c>
      <c r="D157" s="5">
        <v>1.627</v>
      </c>
      <c r="E157" s="64">
        <f t="shared" si="14"/>
        <v>7.43539</v>
      </c>
      <c r="F157" s="78">
        <v>2200</v>
      </c>
      <c r="G157" s="54">
        <f t="shared" si="16"/>
        <v>16357.858</v>
      </c>
      <c r="H157" s="2"/>
      <c r="J157"/>
      <c r="K157" s="20"/>
      <c r="L157" s="20"/>
      <c r="M157" s="21"/>
      <c r="N157"/>
      <c r="O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s="1" customFormat="1" ht="15" thickBot="1">
      <c r="A158" s="4" t="s">
        <v>85</v>
      </c>
      <c r="B158" s="26" t="s">
        <v>102</v>
      </c>
      <c r="C158" s="2">
        <f t="shared" si="15"/>
        <v>4570</v>
      </c>
      <c r="D158" s="5">
        <v>0.0048</v>
      </c>
      <c r="E158" s="64">
        <f t="shared" si="14"/>
        <v>0.021935999999999997</v>
      </c>
      <c r="F158" s="78">
        <v>575</v>
      </c>
      <c r="G158" s="54">
        <f t="shared" si="16"/>
        <v>12.613199999999999</v>
      </c>
      <c r="H158" s="2"/>
      <c r="J158"/>
      <c r="K158" s="20"/>
      <c r="L158" s="20"/>
      <c r="M158" s="21"/>
      <c r="N158"/>
      <c r="O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s="1" customFormat="1" ht="13.5" thickBot="1">
      <c r="A159" s="4" t="s">
        <v>86</v>
      </c>
      <c r="B159" s="26" t="s">
        <v>62</v>
      </c>
      <c r="C159" s="2">
        <f t="shared" si="15"/>
        <v>4570</v>
      </c>
      <c r="D159" s="5">
        <v>0.58</v>
      </c>
      <c r="E159" s="64">
        <f t="shared" si="14"/>
        <v>2.6506</v>
      </c>
      <c r="F159" s="78">
        <v>24.25</v>
      </c>
      <c r="G159" s="54">
        <f t="shared" si="16"/>
        <v>64.27705</v>
      </c>
      <c r="H159" s="2"/>
      <c r="J159"/>
      <c r="K159" s="20"/>
      <c r="L159" s="20"/>
      <c r="M159" s="21"/>
      <c r="N159"/>
      <c r="O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s="1" customFormat="1" ht="15" thickBot="1">
      <c r="A160" s="4" t="s">
        <v>87</v>
      </c>
      <c r="B160" s="26" t="s">
        <v>102</v>
      </c>
      <c r="C160" s="2">
        <f t="shared" si="15"/>
        <v>4570</v>
      </c>
      <c r="D160" s="5">
        <v>0.18</v>
      </c>
      <c r="E160" s="64">
        <f t="shared" si="14"/>
        <v>0.8226</v>
      </c>
      <c r="F160" s="78">
        <v>15.4</v>
      </c>
      <c r="G160" s="54">
        <f t="shared" si="16"/>
        <v>12.66804</v>
      </c>
      <c r="H160" s="2"/>
      <c r="J160"/>
      <c r="K160" s="20"/>
      <c r="L160" s="20"/>
      <c r="M160" s="21"/>
      <c r="N160"/>
      <c r="O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s="1" customFormat="1" ht="27" thickBot="1">
      <c r="A161" s="4" t="s">
        <v>88</v>
      </c>
      <c r="B161" s="26" t="s">
        <v>36</v>
      </c>
      <c r="C161" s="2">
        <f t="shared" si="15"/>
        <v>4570</v>
      </c>
      <c r="D161" s="5">
        <v>4.14</v>
      </c>
      <c r="E161" s="64">
        <f t="shared" si="14"/>
        <v>18.9198</v>
      </c>
      <c r="F161" s="78">
        <v>116.4</v>
      </c>
      <c r="G161" s="54">
        <f t="shared" si="16"/>
        <v>2202.26472</v>
      </c>
      <c r="H161" s="2"/>
      <c r="J161"/>
      <c r="K161" s="20"/>
      <c r="L161" s="20"/>
      <c r="M161" s="21"/>
      <c r="N161"/>
      <c r="O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s="1" customFormat="1" ht="15" thickBot="1">
      <c r="A162" s="4" t="s">
        <v>89</v>
      </c>
      <c r="B162" s="26" t="s">
        <v>102</v>
      </c>
      <c r="C162" s="2">
        <f t="shared" si="15"/>
        <v>4570</v>
      </c>
      <c r="D162" s="5">
        <v>3.02</v>
      </c>
      <c r="E162" s="64">
        <f t="shared" si="14"/>
        <v>13.8014</v>
      </c>
      <c r="F162" s="78">
        <v>2581</v>
      </c>
      <c r="G162" s="54">
        <f t="shared" si="16"/>
        <v>35621.4134</v>
      </c>
      <c r="H162" s="2"/>
      <c r="J162"/>
      <c r="K162" s="20"/>
      <c r="L162" s="20"/>
      <c r="M162" s="21"/>
      <c r="N162"/>
      <c r="O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s="1" customFormat="1" ht="13.5" thickBot="1">
      <c r="A163" s="4" t="s">
        <v>90</v>
      </c>
      <c r="B163" s="26" t="s">
        <v>36</v>
      </c>
      <c r="C163" s="2">
        <f t="shared" si="15"/>
        <v>4570</v>
      </c>
      <c r="D163" s="5">
        <v>0.03</v>
      </c>
      <c r="E163" s="64">
        <f t="shared" si="14"/>
        <v>0.1371</v>
      </c>
      <c r="F163" s="78">
        <v>150.95</v>
      </c>
      <c r="G163" s="54">
        <f t="shared" si="16"/>
        <v>20.695245</v>
      </c>
      <c r="H163" s="2"/>
      <c r="J163"/>
      <c r="K163" s="20"/>
      <c r="L163" s="20"/>
      <c r="M163" s="21"/>
      <c r="N163"/>
      <c r="O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s="1" customFormat="1" ht="13.5" thickBot="1">
      <c r="A164" s="4" t="s">
        <v>91</v>
      </c>
      <c r="B164" s="26" t="s">
        <v>36</v>
      </c>
      <c r="C164" s="2">
        <f t="shared" si="15"/>
        <v>4570</v>
      </c>
      <c r="D164" s="5">
        <v>0.04</v>
      </c>
      <c r="E164" s="64">
        <f t="shared" si="14"/>
        <v>0.18280000000000002</v>
      </c>
      <c r="F164" s="78">
        <v>125.41</v>
      </c>
      <c r="G164" s="54">
        <f t="shared" si="16"/>
        <v>22.924948</v>
      </c>
      <c r="H164" s="2"/>
      <c r="J164"/>
      <c r="K164" s="20"/>
      <c r="L164" s="20"/>
      <c r="M164" s="21"/>
      <c r="N164"/>
      <c r="O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s="1" customFormat="1" ht="13.5" thickBot="1">
      <c r="A165" s="4" t="s">
        <v>92</v>
      </c>
      <c r="B165" s="26" t="s">
        <v>62</v>
      </c>
      <c r="C165" s="2">
        <f t="shared" si="15"/>
        <v>4570</v>
      </c>
      <c r="D165" s="5">
        <v>1.08</v>
      </c>
      <c r="E165" s="64">
        <f t="shared" si="14"/>
        <v>4.9356</v>
      </c>
      <c r="F165" s="78">
        <v>2.26</v>
      </c>
      <c r="G165" s="54">
        <f t="shared" si="16"/>
        <v>11.154456</v>
      </c>
      <c r="H165" s="2"/>
      <c r="J165"/>
      <c r="K165" s="20"/>
      <c r="L165" s="20"/>
      <c r="M165" s="21"/>
      <c r="N165"/>
      <c r="O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s="1" customFormat="1" ht="13.5" thickBot="1">
      <c r="A166" s="4" t="s">
        <v>93</v>
      </c>
      <c r="B166" s="26" t="s">
        <v>36</v>
      </c>
      <c r="C166" s="2">
        <f t="shared" si="15"/>
        <v>4570</v>
      </c>
      <c r="D166" s="5">
        <v>0.52</v>
      </c>
      <c r="E166" s="64">
        <f t="shared" si="14"/>
        <v>2.3764000000000003</v>
      </c>
      <c r="F166" s="78">
        <v>140</v>
      </c>
      <c r="G166" s="54">
        <f t="shared" si="16"/>
        <v>332.696</v>
      </c>
      <c r="H166" s="2"/>
      <c r="J166"/>
      <c r="K166" s="20"/>
      <c r="L166" s="20"/>
      <c r="M166" s="21"/>
      <c r="N166"/>
      <c r="O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s="1" customFormat="1" ht="13.5" thickBot="1">
      <c r="A167" s="4" t="s">
        <v>94</v>
      </c>
      <c r="B167" s="26" t="s">
        <v>36</v>
      </c>
      <c r="C167" s="2">
        <f t="shared" si="15"/>
        <v>4570</v>
      </c>
      <c r="D167" s="5">
        <v>0.01</v>
      </c>
      <c r="E167" s="64">
        <f t="shared" si="14"/>
        <v>0.045700000000000005</v>
      </c>
      <c r="F167" s="78">
        <v>489</v>
      </c>
      <c r="G167" s="54">
        <f t="shared" si="16"/>
        <v>22.3473</v>
      </c>
      <c r="H167" s="2"/>
      <c r="J167"/>
      <c r="K167" s="20"/>
      <c r="L167" s="20"/>
      <c r="M167" s="21"/>
      <c r="N167"/>
      <c r="O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s="1" customFormat="1" ht="13.5" thickBot="1">
      <c r="A168" s="4" t="s">
        <v>95</v>
      </c>
      <c r="B168" s="26" t="s">
        <v>62</v>
      </c>
      <c r="C168" s="2">
        <f t="shared" si="15"/>
        <v>4570</v>
      </c>
      <c r="D168" s="5">
        <v>1.9</v>
      </c>
      <c r="E168" s="64">
        <f t="shared" si="14"/>
        <v>8.683</v>
      </c>
      <c r="F168" s="78">
        <v>145.5</v>
      </c>
      <c r="G168" s="54">
        <f t="shared" si="16"/>
        <v>1263.3765</v>
      </c>
      <c r="H168" s="2"/>
      <c r="J168"/>
      <c r="K168" s="20"/>
      <c r="L168" s="20"/>
      <c r="M168" s="21"/>
      <c r="N168"/>
      <c r="O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s="1" customFormat="1" ht="13.5" thickBot="1">
      <c r="A169" s="4" t="s">
        <v>96</v>
      </c>
      <c r="B169" s="26" t="s">
        <v>62</v>
      </c>
      <c r="C169" s="2">
        <f t="shared" si="15"/>
        <v>4570</v>
      </c>
      <c r="D169" s="5">
        <v>2.1</v>
      </c>
      <c r="E169" s="64">
        <f t="shared" si="14"/>
        <v>9.597</v>
      </c>
      <c r="F169" s="78">
        <v>121.5</v>
      </c>
      <c r="G169" s="54">
        <f t="shared" si="16"/>
        <v>1166.0355</v>
      </c>
      <c r="H169" s="2"/>
      <c r="J169"/>
      <c r="K169" s="20"/>
      <c r="L169" s="20"/>
      <c r="M169" s="21"/>
      <c r="N169"/>
      <c r="O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s="1" customFormat="1" ht="13.5" thickBot="1">
      <c r="A170" s="4" t="s">
        <v>97</v>
      </c>
      <c r="B170" s="26" t="s">
        <v>62</v>
      </c>
      <c r="C170" s="2">
        <f t="shared" si="15"/>
        <v>4570</v>
      </c>
      <c r="D170" s="5">
        <v>2.1</v>
      </c>
      <c r="E170" s="64">
        <f t="shared" si="14"/>
        <v>9.597</v>
      </c>
      <c r="F170" s="78">
        <v>53.77</v>
      </c>
      <c r="G170" s="54">
        <f t="shared" si="16"/>
        <v>516.03069</v>
      </c>
      <c r="H170" s="2"/>
      <c r="J170"/>
      <c r="K170" s="20"/>
      <c r="L170" s="20"/>
      <c r="M170" s="21"/>
      <c r="N170"/>
      <c r="O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s="1" customFormat="1" ht="13.5" thickBot="1">
      <c r="A171" s="4" t="s">
        <v>98</v>
      </c>
      <c r="B171" s="26" t="s">
        <v>36</v>
      </c>
      <c r="C171" s="2">
        <f t="shared" si="15"/>
        <v>4570</v>
      </c>
      <c r="D171" s="5">
        <v>0.88</v>
      </c>
      <c r="E171" s="64">
        <f t="shared" si="14"/>
        <v>4.0216</v>
      </c>
      <c r="F171" s="78">
        <v>48.17</v>
      </c>
      <c r="G171" s="54">
        <f t="shared" si="16"/>
        <v>193.72047200000003</v>
      </c>
      <c r="H171" s="2"/>
      <c r="J171"/>
      <c r="K171" s="20"/>
      <c r="L171" s="20"/>
      <c r="M171" s="21"/>
      <c r="N171"/>
      <c r="O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s="1" customFormat="1" ht="13.5" thickBot="1">
      <c r="A172" s="4" t="s">
        <v>99</v>
      </c>
      <c r="B172" s="26" t="s">
        <v>36</v>
      </c>
      <c r="C172" s="2">
        <f t="shared" si="15"/>
        <v>4570</v>
      </c>
      <c r="D172" s="5">
        <v>6.29</v>
      </c>
      <c r="E172" s="64">
        <f t="shared" si="14"/>
        <v>28.7453</v>
      </c>
      <c r="F172" s="78">
        <v>50</v>
      </c>
      <c r="G172" s="54">
        <f t="shared" si="16"/>
        <v>1437.265</v>
      </c>
      <c r="H172" s="2"/>
      <c r="J172"/>
      <c r="K172" s="20"/>
      <c r="L172" s="20"/>
      <c r="M172" s="21"/>
      <c r="N172"/>
      <c r="O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s="1" customFormat="1" ht="13.5" thickBot="1">
      <c r="A173" s="4" t="s">
        <v>100</v>
      </c>
      <c r="B173" s="26" t="s">
        <v>36</v>
      </c>
      <c r="C173" s="2">
        <f t="shared" si="15"/>
        <v>4570</v>
      </c>
      <c r="D173" s="5">
        <v>0.15</v>
      </c>
      <c r="E173" s="64">
        <f t="shared" si="14"/>
        <v>0.6855</v>
      </c>
      <c r="F173" s="78">
        <v>94.11</v>
      </c>
      <c r="G173" s="54">
        <f t="shared" si="16"/>
        <v>64.512405</v>
      </c>
      <c r="H173" s="2"/>
      <c r="J173"/>
      <c r="K173" s="20"/>
      <c r="L173" s="20"/>
      <c r="M173" s="21"/>
      <c r="N173"/>
      <c r="O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s="1" customFormat="1" ht="13.5" thickBot="1">
      <c r="A174" s="4" t="s">
        <v>101</v>
      </c>
      <c r="B174" s="26" t="s">
        <v>36</v>
      </c>
      <c r="C174" s="2">
        <f t="shared" si="15"/>
        <v>4570</v>
      </c>
      <c r="D174" s="5">
        <v>0.33</v>
      </c>
      <c r="E174" s="64">
        <f t="shared" si="14"/>
        <v>1.5081000000000002</v>
      </c>
      <c r="F174" s="78">
        <v>56.64</v>
      </c>
      <c r="G174" s="54">
        <f t="shared" si="16"/>
        <v>85.41878400000002</v>
      </c>
      <c r="H174" s="2"/>
      <c r="J174"/>
      <c r="K174" s="20"/>
      <c r="L174" s="20"/>
      <c r="M174" s="21"/>
      <c r="N174"/>
      <c r="O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s="1" customFormat="1" ht="13.5" thickBot="1">
      <c r="A175" s="4" t="s">
        <v>209</v>
      </c>
      <c r="B175" s="26"/>
      <c r="C175" s="2"/>
      <c r="D175" s="5"/>
      <c r="E175" s="64"/>
      <c r="F175" s="78"/>
      <c r="G175" s="54">
        <f>(E145+E146)*спецодежда!G35</f>
        <v>1297.8934917367994</v>
      </c>
      <c r="H175" s="2"/>
      <c r="J175"/>
      <c r="K175" s="20"/>
      <c r="L175" s="20"/>
      <c r="M175" s="21"/>
      <c r="N175"/>
      <c r="O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s="1" customFormat="1" ht="15">
      <c r="A176" s="9" t="s">
        <v>48</v>
      </c>
      <c r="B176" s="10"/>
      <c r="C176" s="10"/>
      <c r="D176" s="10"/>
      <c r="E176" s="10"/>
      <c r="F176" s="10"/>
      <c r="G176" s="66">
        <f>SUM(G145:G146,G148:G175)</f>
        <v>194118.422406391</v>
      </c>
      <c r="H176" s="41">
        <f>G176/B5/12</f>
        <v>3.5397232386285737</v>
      </c>
      <c r="J176"/>
      <c r="N176"/>
      <c r="O176"/>
      <c r="Q176"/>
      <c r="R176"/>
      <c r="S176"/>
      <c r="T176"/>
      <c r="U176"/>
      <c r="V176"/>
      <c r="W176"/>
      <c r="X176"/>
      <c r="Y176"/>
      <c r="Z176"/>
      <c r="AA176"/>
      <c r="AB176"/>
    </row>
    <row r="178" spans="1:28" s="1" customFormat="1" ht="71.25" customHeight="1">
      <c r="A178" s="167" t="s">
        <v>250</v>
      </c>
      <c r="B178" s="168"/>
      <c r="C178" s="169" t="s">
        <v>234</v>
      </c>
      <c r="D178" s="170"/>
      <c r="E178" s="170"/>
      <c r="F178" s="170"/>
      <c r="G178" s="170"/>
      <c r="H178" s="170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s="1" customFormat="1" ht="91.5" customHeight="1" thickBot="1">
      <c r="A179" s="13" t="s">
        <v>3</v>
      </c>
      <c r="B179" s="13" t="s">
        <v>4</v>
      </c>
      <c r="C179" s="13" t="s">
        <v>0</v>
      </c>
      <c r="D179" s="13" t="s">
        <v>1</v>
      </c>
      <c r="E179" s="13" t="s">
        <v>5</v>
      </c>
      <c r="F179" s="14" t="s">
        <v>46</v>
      </c>
      <c r="G179" s="14" t="s">
        <v>225</v>
      </c>
      <c r="H179" s="14" t="s">
        <v>49</v>
      </c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s="1" customFormat="1" ht="39.75" thickBot="1">
      <c r="A180" s="3" t="s">
        <v>40</v>
      </c>
      <c r="B180" s="59">
        <v>3</v>
      </c>
      <c r="C180" s="2">
        <f>B5</f>
        <v>4570</v>
      </c>
      <c r="D180" s="26">
        <v>4.2</v>
      </c>
      <c r="E180" s="64">
        <f>C180*D180/1000</f>
        <v>19.194</v>
      </c>
      <c r="F180" s="64">
        <f>M7</f>
        <v>62.24799025578562</v>
      </c>
      <c r="G180" s="54">
        <f>E180*F180*1.42*1.15*1.302</f>
        <v>2540.317463280807</v>
      </c>
      <c r="H180" s="11"/>
      <c r="J180"/>
      <c r="K180" s="20"/>
      <c r="L180" s="20"/>
      <c r="M180" s="21"/>
      <c r="N180"/>
      <c r="O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s="1" customFormat="1" ht="13.5" thickBot="1">
      <c r="A181" s="9" t="s">
        <v>11</v>
      </c>
      <c r="B181" s="10" t="s">
        <v>42</v>
      </c>
      <c r="C181" s="10" t="s">
        <v>0</v>
      </c>
      <c r="D181" s="10" t="s">
        <v>1</v>
      </c>
      <c r="E181" s="10" t="s">
        <v>43</v>
      </c>
      <c r="F181" s="10" t="s">
        <v>47</v>
      </c>
      <c r="G181" s="12" t="s">
        <v>145</v>
      </c>
      <c r="H181" s="12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s="1" customFormat="1" ht="13.5" thickBot="1">
      <c r="A182" s="4" t="s">
        <v>103</v>
      </c>
      <c r="B182" s="26" t="s">
        <v>30</v>
      </c>
      <c r="C182" s="2">
        <f>C180</f>
        <v>4570</v>
      </c>
      <c r="D182" s="5">
        <v>0.032</v>
      </c>
      <c r="E182" s="64">
        <f>C182*D182/1000</f>
        <v>0.14624</v>
      </c>
      <c r="F182" s="78">
        <v>3500</v>
      </c>
      <c r="G182" s="54">
        <f>E182*F182</f>
        <v>511.84000000000003</v>
      </c>
      <c r="H182" s="2"/>
      <c r="J182"/>
      <c r="K182" s="20"/>
      <c r="L182" s="20"/>
      <c r="M182" s="21"/>
      <c r="N182"/>
      <c r="O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s="1" customFormat="1" ht="27" thickBot="1">
      <c r="A183" s="4" t="s">
        <v>104</v>
      </c>
      <c r="B183" s="26" t="s">
        <v>102</v>
      </c>
      <c r="C183" s="2">
        <f>C180</f>
        <v>4570</v>
      </c>
      <c r="D183" s="5">
        <v>0.006</v>
      </c>
      <c r="E183" s="64">
        <f>C183*D183/1000</f>
        <v>0.027420000000000003</v>
      </c>
      <c r="F183" s="78">
        <v>2300</v>
      </c>
      <c r="G183" s="54">
        <f>E183*F183</f>
        <v>63.06600000000001</v>
      </c>
      <c r="H183" s="2"/>
      <c r="J183"/>
      <c r="K183" s="20"/>
      <c r="L183" s="20"/>
      <c r="M183" s="21"/>
      <c r="N183"/>
      <c r="O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s="1" customFormat="1" ht="13.5" thickBot="1">
      <c r="A184" s="4" t="s">
        <v>209</v>
      </c>
      <c r="B184" s="26"/>
      <c r="C184" s="2"/>
      <c r="D184" s="5"/>
      <c r="E184" s="64"/>
      <c r="F184" s="78"/>
      <c r="G184" s="54">
        <f>E180*спецодежда!G35</f>
        <v>32.94145918113705</v>
      </c>
      <c r="H184" s="2"/>
      <c r="J184"/>
      <c r="K184" s="20"/>
      <c r="L184" s="20"/>
      <c r="M184" s="21"/>
      <c r="N184"/>
      <c r="O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s="1" customFormat="1" ht="15">
      <c r="A185" s="9" t="s">
        <v>48</v>
      </c>
      <c r="B185" s="10"/>
      <c r="C185" s="10"/>
      <c r="D185" s="10"/>
      <c r="E185" s="10"/>
      <c r="F185" s="10"/>
      <c r="G185" s="66">
        <f>G180+G182+G183+G184</f>
        <v>3148.1649224619437</v>
      </c>
      <c r="H185" s="41">
        <f>G185/B5/12</f>
        <v>0.05740636255401064</v>
      </c>
      <c r="J185"/>
      <c r="N185"/>
      <c r="O185"/>
      <c r="Q185"/>
      <c r="R185"/>
      <c r="S185"/>
      <c r="T185"/>
      <c r="U185"/>
      <c r="V185"/>
      <c r="W185"/>
      <c r="X185"/>
      <c r="Y185"/>
      <c r="Z185"/>
      <c r="AA185"/>
      <c r="AB185"/>
    </row>
    <row r="187" spans="1:28" s="1" customFormat="1" ht="45" customHeight="1">
      <c r="A187" s="167" t="s">
        <v>251</v>
      </c>
      <c r="B187" s="168"/>
      <c r="C187" s="169" t="s">
        <v>235</v>
      </c>
      <c r="D187" s="170"/>
      <c r="E187" s="170"/>
      <c r="F187" s="170"/>
      <c r="G187" s="170"/>
      <c r="H187" s="170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s="1" customFormat="1" ht="91.5" customHeight="1" thickBot="1">
      <c r="A188" s="13" t="s">
        <v>3</v>
      </c>
      <c r="B188" s="13" t="s">
        <v>4</v>
      </c>
      <c r="C188" s="13" t="s">
        <v>0</v>
      </c>
      <c r="D188" s="13" t="s">
        <v>1</v>
      </c>
      <c r="E188" s="13" t="s">
        <v>5</v>
      </c>
      <c r="F188" s="14" t="s">
        <v>46</v>
      </c>
      <c r="G188" s="14" t="s">
        <v>225</v>
      </c>
      <c r="H188" s="14" t="s">
        <v>49</v>
      </c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s="1" customFormat="1" ht="39.75" thickBot="1">
      <c r="A189" s="3" t="s">
        <v>227</v>
      </c>
      <c r="B189" s="59">
        <v>3</v>
      </c>
      <c r="C189" s="2">
        <f>B5</f>
        <v>4570</v>
      </c>
      <c r="D189" s="26">
        <v>22</v>
      </c>
      <c r="E189" s="64">
        <f>C189*D189/1000</f>
        <v>100.54</v>
      </c>
      <c r="F189" s="64">
        <f>M7</f>
        <v>62.24799025578562</v>
      </c>
      <c r="G189" s="54">
        <f>E189*F189*1.4*1.15*1.302</f>
        <v>13119.010373750645</v>
      </c>
      <c r="H189" s="11"/>
      <c r="J189"/>
      <c r="K189" s="20"/>
      <c r="L189" s="20"/>
      <c r="M189" s="21"/>
      <c r="N189"/>
      <c r="O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s="1" customFormat="1" ht="13.5" thickBot="1">
      <c r="A190" s="9" t="s">
        <v>11</v>
      </c>
      <c r="B190" s="10" t="s">
        <v>42</v>
      </c>
      <c r="C190" s="10" t="s">
        <v>0</v>
      </c>
      <c r="D190" s="10" t="s">
        <v>1</v>
      </c>
      <c r="E190" s="10" t="s">
        <v>43</v>
      </c>
      <c r="F190" s="10" t="s">
        <v>47</v>
      </c>
      <c r="G190" s="12" t="s">
        <v>145</v>
      </c>
      <c r="H190" s="12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s="1" customFormat="1" ht="13.5" thickBot="1">
      <c r="A191" s="4" t="s">
        <v>109</v>
      </c>
      <c r="B191" s="26" t="s">
        <v>36</v>
      </c>
      <c r="C191" s="2">
        <f>C189</f>
        <v>4570</v>
      </c>
      <c r="D191" s="5">
        <v>0.013</v>
      </c>
      <c r="E191" s="64">
        <f>C191*D191/1000</f>
        <v>0.05941</v>
      </c>
      <c r="F191" s="78">
        <v>102</v>
      </c>
      <c r="G191" s="54">
        <f>E191*F191</f>
        <v>6.059819999999999</v>
      </c>
      <c r="H191" s="2"/>
      <c r="J191"/>
      <c r="K191" s="20"/>
      <c r="L191" s="20"/>
      <c r="M191" s="21"/>
      <c r="N191"/>
      <c r="O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s="1" customFormat="1" ht="13.5" thickBot="1">
      <c r="A192" s="4" t="s">
        <v>110</v>
      </c>
      <c r="B192" s="26" t="s">
        <v>36</v>
      </c>
      <c r="C192" s="2">
        <f>C189</f>
        <v>4570</v>
      </c>
      <c r="D192" s="5">
        <v>0.315</v>
      </c>
      <c r="E192" s="64">
        <f>C192*D192/1000</f>
        <v>1.4395499999999999</v>
      </c>
      <c r="F192" s="78">
        <v>105</v>
      </c>
      <c r="G192" s="54">
        <f>E192*F192</f>
        <v>151.15275</v>
      </c>
      <c r="H192" s="2"/>
      <c r="J192"/>
      <c r="K192" s="20"/>
      <c r="L192" s="20"/>
      <c r="M192" s="21"/>
      <c r="N192"/>
      <c r="O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s="1" customFormat="1" ht="13.5" thickBot="1">
      <c r="A193" s="4" t="s">
        <v>209</v>
      </c>
      <c r="B193" s="26"/>
      <c r="C193" s="2"/>
      <c r="D193" s="5"/>
      <c r="E193" s="64"/>
      <c r="F193" s="78"/>
      <c r="G193" s="54">
        <f>E189*спецодежда!G48</f>
        <v>381.6316029626396</v>
      </c>
      <c r="H193" s="2"/>
      <c r="J193"/>
      <c r="K193" s="20"/>
      <c r="L193" s="20"/>
      <c r="M193" s="21"/>
      <c r="N193"/>
      <c r="O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s="1" customFormat="1" ht="15">
      <c r="A194" s="9" t="s">
        <v>48</v>
      </c>
      <c r="B194" s="10"/>
      <c r="C194" s="10"/>
      <c r="D194" s="10"/>
      <c r="E194" s="10"/>
      <c r="F194" s="10"/>
      <c r="G194" s="66">
        <f>G189+G191+G192+G193</f>
        <v>13657.854546713284</v>
      </c>
      <c r="H194" s="41">
        <f>G194/B5/12</f>
        <v>0.24904913469572</v>
      </c>
      <c r="J194"/>
      <c r="N194"/>
      <c r="O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s="1" customFormat="1" ht="12.75">
      <c r="A195" s="36"/>
      <c r="B195" s="36"/>
      <c r="D195" s="36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s="1" customFormat="1" ht="12.75">
      <c r="A196" s="173" t="s">
        <v>252</v>
      </c>
      <c r="B196" s="174"/>
      <c r="C196" s="174"/>
      <c r="D196" s="174"/>
      <c r="E196" s="174"/>
      <c r="F196" s="174"/>
      <c r="G196" s="174"/>
      <c r="H196" s="174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8" ht="28.5" customHeight="1">
      <c r="A197" s="97" t="s">
        <v>264</v>
      </c>
      <c r="B197" s="38"/>
      <c r="C197" s="38"/>
      <c r="D197" s="38"/>
      <c r="E197" s="38"/>
      <c r="F197" s="38"/>
      <c r="G197" s="38"/>
      <c r="H197" s="38"/>
    </row>
    <row r="198" spans="1:8" ht="26.25">
      <c r="A198" s="13" t="s">
        <v>263</v>
      </c>
      <c r="B198" s="10"/>
      <c r="C198" s="10"/>
      <c r="D198" s="10"/>
      <c r="E198" s="10"/>
      <c r="F198" s="10"/>
      <c r="G198" s="12"/>
      <c r="H198" s="96" t="s">
        <v>49</v>
      </c>
    </row>
    <row r="199" spans="1:28" s="1" customFormat="1" ht="12.75">
      <c r="A199" s="32" t="s">
        <v>113</v>
      </c>
      <c r="B199" s="33"/>
      <c r="C199" s="33"/>
      <c r="D199" s="33"/>
      <c r="E199" s="35"/>
      <c r="F199" s="33"/>
      <c r="G199" s="34"/>
      <c r="H199" s="33">
        <v>1.46</v>
      </c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s="1" customFormat="1" ht="12.75">
      <c r="A200" s="32" t="s">
        <v>114</v>
      </c>
      <c r="B200" s="33"/>
      <c r="C200" s="33"/>
      <c r="D200" s="33"/>
      <c r="E200" s="35"/>
      <c r="F200" s="33"/>
      <c r="G200" s="34"/>
      <c r="H200" s="33">
        <v>0.27</v>
      </c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s="1" customFormat="1" ht="15">
      <c r="A201" s="9" t="s">
        <v>48</v>
      </c>
      <c r="B201" s="10"/>
      <c r="C201" s="10"/>
      <c r="D201" s="10"/>
      <c r="E201" s="10"/>
      <c r="F201" s="10"/>
      <c r="G201" s="12"/>
      <c r="H201" s="41">
        <f>H199+H200</f>
        <v>1.73</v>
      </c>
      <c r="Q201"/>
      <c r="R201"/>
      <c r="S201"/>
      <c r="T201"/>
      <c r="U201"/>
      <c r="V201"/>
      <c r="W201"/>
      <c r="X201"/>
      <c r="Y201"/>
      <c r="Z201"/>
      <c r="AA201"/>
      <c r="AB201"/>
    </row>
    <row r="203" spans="1:28" s="1" customFormat="1" ht="12.75">
      <c r="A203" s="173" t="s">
        <v>254</v>
      </c>
      <c r="B203" s="174"/>
      <c r="C203" s="174"/>
      <c r="D203" s="174"/>
      <c r="E203" s="174"/>
      <c r="F203" s="174"/>
      <c r="G203" s="174"/>
      <c r="H203" s="174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s="1" customFormat="1" ht="12.75">
      <c r="A204" s="37"/>
      <c r="B204" s="38"/>
      <c r="C204" s="38"/>
      <c r="D204" s="38"/>
      <c r="E204" s="38"/>
      <c r="F204" s="38"/>
      <c r="G204" s="38"/>
      <c r="H204" s="38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s="1" customFormat="1" ht="39.75" thickBot="1">
      <c r="A205" s="13" t="s">
        <v>139</v>
      </c>
      <c r="B205" s="13" t="s">
        <v>140</v>
      </c>
      <c r="C205" s="14" t="s">
        <v>141</v>
      </c>
      <c r="D205" s="14" t="s">
        <v>142</v>
      </c>
      <c r="E205" s="13"/>
      <c r="F205" s="14"/>
      <c r="G205" s="14" t="s">
        <v>143</v>
      </c>
      <c r="H205" s="14" t="s">
        <v>49</v>
      </c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s="1" customFormat="1" ht="13.5" thickBot="1">
      <c r="A206" s="4" t="s">
        <v>117</v>
      </c>
      <c r="B206" s="26">
        <v>0.51</v>
      </c>
      <c r="C206" s="2">
        <f>B10</f>
        <v>795.25</v>
      </c>
      <c r="D206" s="5">
        <v>2</v>
      </c>
      <c r="E206" s="64"/>
      <c r="F206" s="78"/>
      <c r="G206" s="54">
        <f>B206*C206*D206</f>
        <v>811.155</v>
      </c>
      <c r="H206" s="2"/>
      <c r="J206"/>
      <c r="K206" s="20"/>
      <c r="L206" s="20"/>
      <c r="M206" s="21"/>
      <c r="N206"/>
      <c r="O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s="1" customFormat="1" ht="13.5" thickBot="1">
      <c r="A207" s="4" t="s">
        <v>118</v>
      </c>
      <c r="B207" s="26">
        <v>1.68</v>
      </c>
      <c r="C207" s="2">
        <f>C206</f>
        <v>795.25</v>
      </c>
      <c r="D207" s="5">
        <v>2</v>
      </c>
      <c r="E207" s="64"/>
      <c r="F207" s="78"/>
      <c r="G207" s="54">
        <f>B207*C207*D207</f>
        <v>2672.04</v>
      </c>
      <c r="H207" s="2"/>
      <c r="J207"/>
      <c r="K207" s="20"/>
      <c r="L207" s="20"/>
      <c r="M207" s="21"/>
      <c r="N207"/>
      <c r="O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s="1" customFormat="1" ht="15">
      <c r="A208" s="9" t="s">
        <v>48</v>
      </c>
      <c r="B208" s="10"/>
      <c r="C208" s="10"/>
      <c r="D208" s="10"/>
      <c r="E208" s="10"/>
      <c r="F208" s="10"/>
      <c r="G208" s="66">
        <f>G206+G207</f>
        <v>3483.1949999999997</v>
      </c>
      <c r="H208" s="41">
        <f>G208/B5/12</f>
        <v>0.063515590809628</v>
      </c>
      <c r="J208"/>
      <c r="N208"/>
      <c r="O208"/>
      <c r="Q208"/>
      <c r="R208"/>
      <c r="S208"/>
      <c r="T208"/>
      <c r="U208"/>
      <c r="V208"/>
      <c r="W208"/>
      <c r="X208"/>
      <c r="Y208"/>
      <c r="Z208"/>
      <c r="AA208"/>
      <c r="AB208"/>
    </row>
    <row r="210" spans="1:28" s="1" customFormat="1" ht="12.75">
      <c r="A210" s="173" t="s">
        <v>255</v>
      </c>
      <c r="B210" s="174"/>
      <c r="C210" s="174"/>
      <c r="D210" s="174"/>
      <c r="E210" s="174"/>
      <c r="F210" s="174"/>
      <c r="G210" s="174"/>
      <c r="H210" s="174"/>
      <c r="Q210"/>
      <c r="R210"/>
      <c r="S210"/>
      <c r="T210"/>
      <c r="U210"/>
      <c r="V210"/>
      <c r="W210"/>
      <c r="X210"/>
      <c r="Y210"/>
      <c r="Z210"/>
      <c r="AA210"/>
      <c r="AB210"/>
    </row>
    <row r="211" spans="1:28" s="1" customFormat="1" ht="15">
      <c r="A211" s="1" t="s">
        <v>205</v>
      </c>
      <c r="B211" s="40"/>
      <c r="C211" s="40"/>
      <c r="D211" s="40"/>
      <c r="E211" s="40"/>
      <c r="F211" s="39"/>
      <c r="G211" s="39" t="s">
        <v>116</v>
      </c>
      <c r="H211" s="41">
        <v>0.15</v>
      </c>
      <c r="Q211"/>
      <c r="R211"/>
      <c r="S211"/>
      <c r="T211"/>
      <c r="U211"/>
      <c r="V211"/>
      <c r="W211"/>
      <c r="X211"/>
      <c r="Y211"/>
      <c r="Z211"/>
      <c r="AA211"/>
      <c r="AB211"/>
    </row>
    <row r="213" spans="1:28" s="1" customFormat="1" ht="12.75">
      <c r="A213" s="173" t="s">
        <v>256</v>
      </c>
      <c r="B213" s="174"/>
      <c r="C213" s="174"/>
      <c r="D213" s="174"/>
      <c r="E213" s="174"/>
      <c r="F213" s="174"/>
      <c r="G213" s="174"/>
      <c r="H213" s="174"/>
      <c r="Q213"/>
      <c r="R213"/>
      <c r="S213"/>
      <c r="T213"/>
      <c r="U213"/>
      <c r="V213"/>
      <c r="W213"/>
      <c r="X213"/>
      <c r="Y213"/>
      <c r="Z213"/>
      <c r="AA213"/>
      <c r="AB213"/>
    </row>
    <row r="215" spans="1:28" s="1" customFormat="1" ht="13.5">
      <c r="A215" s="43" t="s">
        <v>119</v>
      </c>
      <c r="B215" s="44" t="s">
        <v>120</v>
      </c>
      <c r="C215" s="45" t="s">
        <v>121</v>
      </c>
      <c r="D215" s="44" t="s">
        <v>122</v>
      </c>
      <c r="E215" s="45" t="s">
        <v>123</v>
      </c>
      <c r="F215" s="44" t="s">
        <v>124</v>
      </c>
      <c r="G215" s="46" t="s">
        <v>134</v>
      </c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1" customFormat="1" ht="13.5">
      <c r="A216" s="47"/>
      <c r="B216" s="48" t="s">
        <v>125</v>
      </c>
      <c r="C216" s="49"/>
      <c r="D216" s="50">
        <v>0.302</v>
      </c>
      <c r="E216" s="51"/>
      <c r="F216" s="48" t="s">
        <v>126</v>
      </c>
      <c r="G216" s="52"/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1" customFormat="1" ht="12.75">
      <c r="A217" s="2" t="s">
        <v>127</v>
      </c>
      <c r="B217" s="11">
        <f>2/400000*$B$4</f>
        <v>0.031810000000000005</v>
      </c>
      <c r="C217" s="53">
        <v>40000</v>
      </c>
      <c r="D217" s="54">
        <f>SUM(C217*D216)</f>
        <v>12080</v>
      </c>
      <c r="E217" s="54">
        <f>SUM(C217:D217)</f>
        <v>52080</v>
      </c>
      <c r="F217" s="11">
        <f>SUM(E217*B217)</f>
        <v>1656.6648000000002</v>
      </c>
      <c r="G217" s="55">
        <f>F217/$B$5</f>
        <v>0.3625087089715537</v>
      </c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1" customFormat="1" ht="12.75">
      <c r="A218" s="2" t="s">
        <v>128</v>
      </c>
      <c r="B218" s="11">
        <f>2/400000*$B$4</f>
        <v>0.031810000000000005</v>
      </c>
      <c r="C218" s="53">
        <v>25000</v>
      </c>
      <c r="D218" s="54">
        <f>SUM(C218*D216)</f>
        <v>7550</v>
      </c>
      <c r="E218" s="54">
        <f aca="true" t="shared" si="17" ref="E218:E224">SUM(C218:D218)</f>
        <v>32550</v>
      </c>
      <c r="F218" s="11">
        <f aca="true" t="shared" si="18" ref="F218:F224">SUM(E218*B218)</f>
        <v>1035.4155</v>
      </c>
      <c r="G218" s="55">
        <f aca="true" t="shared" si="19" ref="G218:G224">F218/$B$5</f>
        <v>0.22656794310722103</v>
      </c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1" customFormat="1" ht="12.75">
      <c r="A219" s="2" t="s">
        <v>129</v>
      </c>
      <c r="B219" s="11">
        <f>2/400000*$B$4</f>
        <v>0.031810000000000005</v>
      </c>
      <c r="C219" s="53">
        <v>25000</v>
      </c>
      <c r="D219" s="54">
        <f>SUM(C219*D216)</f>
        <v>7550</v>
      </c>
      <c r="E219" s="54">
        <f t="shared" si="17"/>
        <v>32550</v>
      </c>
      <c r="F219" s="11">
        <f t="shared" si="18"/>
        <v>1035.4155</v>
      </c>
      <c r="G219" s="55">
        <f t="shared" si="19"/>
        <v>0.22656794310722103</v>
      </c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ht="12.75">
      <c r="A220" s="2" t="s">
        <v>229</v>
      </c>
      <c r="B220" s="11">
        <f>2/400000*$B$4</f>
        <v>0.031810000000000005</v>
      </c>
      <c r="C220" s="53">
        <v>20000</v>
      </c>
      <c r="D220" s="54">
        <f>SUM(C220*D216)</f>
        <v>6040</v>
      </c>
      <c r="E220" s="54">
        <f t="shared" si="17"/>
        <v>26040</v>
      </c>
      <c r="F220" s="11">
        <f t="shared" si="18"/>
        <v>828.3324000000001</v>
      </c>
      <c r="G220" s="55">
        <f t="shared" si="19"/>
        <v>0.18125435448577684</v>
      </c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1" customFormat="1" ht="12.75">
      <c r="A221" s="2" t="s">
        <v>130</v>
      </c>
      <c r="B221" s="11">
        <f>2/400000*$B$4</f>
        <v>0.031810000000000005</v>
      </c>
      <c r="C221" s="53">
        <v>20000</v>
      </c>
      <c r="D221" s="54">
        <f>SUM(C221*D216)</f>
        <v>6040</v>
      </c>
      <c r="E221" s="54">
        <f t="shared" si="17"/>
        <v>26040</v>
      </c>
      <c r="F221" s="11">
        <f>SUM(E221*B221)</f>
        <v>828.3324000000001</v>
      </c>
      <c r="G221" s="55">
        <f t="shared" si="19"/>
        <v>0.18125435448577684</v>
      </c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28" s="1" customFormat="1" ht="12.75">
      <c r="A222" s="2" t="s">
        <v>131</v>
      </c>
      <c r="B222" s="42">
        <f>1/400000*$B$4</f>
        <v>0.015905000000000002</v>
      </c>
      <c r="C222" s="53">
        <v>20000</v>
      </c>
      <c r="D222" s="54">
        <f>SUM(C222*D216)</f>
        <v>6040</v>
      </c>
      <c r="E222" s="54">
        <f t="shared" si="17"/>
        <v>26040</v>
      </c>
      <c r="F222" s="11">
        <f t="shared" si="18"/>
        <v>414.16620000000006</v>
      </c>
      <c r="G222" s="55">
        <f t="shared" si="19"/>
        <v>0.09062717724288842</v>
      </c>
      <c r="Q222"/>
      <c r="R222"/>
      <c r="S222"/>
      <c r="T222"/>
      <c r="U222"/>
      <c r="V222"/>
      <c r="W222"/>
      <c r="X222"/>
      <c r="Y222"/>
      <c r="Z222"/>
      <c r="AA222"/>
      <c r="AB222"/>
    </row>
    <row r="223" spans="1:28" s="1" customFormat="1" ht="12.75">
      <c r="A223" s="2" t="s">
        <v>132</v>
      </c>
      <c r="B223" s="11">
        <f>2/400000*$B$4</f>
        <v>0.031810000000000005</v>
      </c>
      <c r="C223" s="53">
        <v>20000</v>
      </c>
      <c r="D223" s="54">
        <f>SUM(C223*D216)</f>
        <v>6040</v>
      </c>
      <c r="E223" s="54">
        <f t="shared" si="17"/>
        <v>26040</v>
      </c>
      <c r="F223" s="11">
        <f t="shared" si="18"/>
        <v>828.3324000000001</v>
      </c>
      <c r="G223" s="55">
        <f t="shared" si="19"/>
        <v>0.18125435448577684</v>
      </c>
      <c r="Q223"/>
      <c r="R223"/>
      <c r="S223"/>
      <c r="T223"/>
      <c r="U223"/>
      <c r="V223"/>
      <c r="W223"/>
      <c r="X223"/>
      <c r="Y223"/>
      <c r="Z223"/>
      <c r="AA223"/>
      <c r="AB223"/>
    </row>
    <row r="224" spans="1:28" s="1" customFormat="1" ht="12.75">
      <c r="A224" s="2" t="s">
        <v>133</v>
      </c>
      <c r="B224" s="11">
        <f>1/400000*$B$4</f>
        <v>0.015905000000000002</v>
      </c>
      <c r="C224" s="53">
        <v>15000</v>
      </c>
      <c r="D224" s="54">
        <f>SUM(C224*D216)</f>
        <v>4530</v>
      </c>
      <c r="E224" s="54">
        <f t="shared" si="17"/>
        <v>19530</v>
      </c>
      <c r="F224" s="11">
        <f t="shared" si="18"/>
        <v>310.62465000000003</v>
      </c>
      <c r="G224" s="55">
        <f t="shared" si="19"/>
        <v>0.06797038293216631</v>
      </c>
      <c r="Q224"/>
      <c r="R224"/>
      <c r="S224"/>
      <c r="T224"/>
      <c r="U224"/>
      <c r="V224"/>
      <c r="W224"/>
      <c r="X224"/>
      <c r="Y224"/>
      <c r="Z224"/>
      <c r="AA224"/>
      <c r="AB224"/>
    </row>
    <row r="225" spans="1:7" ht="13.5">
      <c r="A225" s="56" t="s">
        <v>48</v>
      </c>
      <c r="B225" s="56">
        <f aca="true" t="shared" si="20" ref="B225:G225">SUM(B217:B224)</f>
        <v>0.22267000000000003</v>
      </c>
      <c r="C225" s="57">
        <f t="shared" si="20"/>
        <v>185000</v>
      </c>
      <c r="D225" s="57">
        <f t="shared" si="20"/>
        <v>55870</v>
      </c>
      <c r="E225" s="57">
        <f t="shared" si="20"/>
        <v>240870</v>
      </c>
      <c r="F225" s="57">
        <f t="shared" si="20"/>
        <v>6937.283850000001</v>
      </c>
      <c r="G225" s="58">
        <f t="shared" si="20"/>
        <v>1.5180052188183808</v>
      </c>
    </row>
    <row r="227" spans="1:6" ht="12.75">
      <c r="A227" s="2" t="s">
        <v>135</v>
      </c>
      <c r="B227" s="2"/>
      <c r="C227" s="2"/>
      <c r="D227" s="2"/>
      <c r="E227" s="53">
        <f>SUM(F225*30%)</f>
        <v>2081.185155</v>
      </c>
      <c r="F227" s="11">
        <f>E227/B5</f>
        <v>0.45540156564551426</v>
      </c>
    </row>
    <row r="228" spans="1:6" ht="50.25" customHeight="1">
      <c r="A228" s="3" t="s">
        <v>136</v>
      </c>
      <c r="B228" s="182" t="s">
        <v>138</v>
      </c>
      <c r="C228" s="182"/>
      <c r="D228" s="182"/>
      <c r="E228" s="60">
        <f>19.62*0.03*B5</f>
        <v>2689.902</v>
      </c>
      <c r="F228" s="61">
        <f>E228/B5</f>
        <v>0.5886</v>
      </c>
    </row>
    <row r="229" spans="1:8" ht="15">
      <c r="A229" s="62" t="s">
        <v>137</v>
      </c>
      <c r="B229" s="2"/>
      <c r="C229" s="2"/>
      <c r="D229" s="2"/>
      <c r="E229" s="63">
        <f>SUM(E227:E228,F225)</f>
        <v>11708.371005</v>
      </c>
      <c r="H229" s="41">
        <f>G225+F227+F228</f>
        <v>2.562006784463895</v>
      </c>
    </row>
    <row r="231" spans="1:8" ht="12.75">
      <c r="A231" s="173" t="s">
        <v>257</v>
      </c>
      <c r="B231" s="174"/>
      <c r="C231" s="174"/>
      <c r="D231" s="174"/>
      <c r="E231" s="174"/>
      <c r="F231" s="174"/>
      <c r="G231" s="174"/>
      <c r="H231" s="174"/>
    </row>
    <row r="233" spans="1:8" ht="29.25" customHeight="1">
      <c r="A233" s="171" t="s">
        <v>223</v>
      </c>
      <c r="B233" s="180"/>
      <c r="C233" s="180"/>
      <c r="D233" s="180"/>
      <c r="E233" s="180"/>
      <c r="F233" s="180"/>
      <c r="G233" s="181"/>
      <c r="H233" s="41">
        <v>1.46</v>
      </c>
    </row>
    <row r="235" spans="1:8" ht="12.75">
      <c r="A235" s="173" t="s">
        <v>258</v>
      </c>
      <c r="B235" s="174"/>
      <c r="C235" s="174"/>
      <c r="D235" s="174"/>
      <c r="E235" s="174"/>
      <c r="F235" s="174"/>
      <c r="G235" s="174"/>
      <c r="H235" s="174"/>
    </row>
    <row r="237" spans="1:18" ht="38.25" customHeight="1">
      <c r="A237" s="171" t="s">
        <v>222</v>
      </c>
      <c r="B237" s="171"/>
      <c r="C237" s="171"/>
      <c r="D237" s="171"/>
      <c r="E237" s="171"/>
      <c r="F237" s="171"/>
      <c r="G237" s="172"/>
      <c r="H237" s="41">
        <v>5.29</v>
      </c>
      <c r="R237">
        <f>H237/19.62</f>
        <v>0.26962283384301733</v>
      </c>
    </row>
    <row r="240" ht="12.75">
      <c r="R240">
        <f>H237/24.39</f>
        <v>0.21689216892168922</v>
      </c>
    </row>
    <row r="241" ht="12.75">
      <c r="G241" s="1">
        <f>19.62*0.27</f>
        <v>5.2974000000000006</v>
      </c>
    </row>
  </sheetData>
  <sheetProtection/>
  <mergeCells count="41">
    <mergeCell ref="A1:B1"/>
    <mergeCell ref="A27:B27"/>
    <mergeCell ref="C27:H27"/>
    <mergeCell ref="A63:B63"/>
    <mergeCell ref="C63:H63"/>
    <mergeCell ref="A40:B40"/>
    <mergeCell ref="C40:H40"/>
    <mergeCell ref="A54:B54"/>
    <mergeCell ref="C54:H54"/>
    <mergeCell ref="A178:B178"/>
    <mergeCell ref="C178:H178"/>
    <mergeCell ref="A94:B94"/>
    <mergeCell ref="C94:H94"/>
    <mergeCell ref="A107:B107"/>
    <mergeCell ref="C107:H107"/>
    <mergeCell ref="A90:F90"/>
    <mergeCell ref="A133:B133"/>
    <mergeCell ref="K3:M3"/>
    <mergeCell ref="A11:H11"/>
    <mergeCell ref="A13:B13"/>
    <mergeCell ref="C13:H13"/>
    <mergeCell ref="A196:H196"/>
    <mergeCell ref="A203:H203"/>
    <mergeCell ref="A76:B76"/>
    <mergeCell ref="C76:H76"/>
    <mergeCell ref="A89:H89"/>
    <mergeCell ref="A92:H92"/>
    <mergeCell ref="A187:B187"/>
    <mergeCell ref="C187:H187"/>
    <mergeCell ref="A117:B117"/>
    <mergeCell ref="C117:H117"/>
    <mergeCell ref="A235:H235"/>
    <mergeCell ref="A237:G237"/>
    <mergeCell ref="A210:H210"/>
    <mergeCell ref="B228:D228"/>
    <mergeCell ref="C133:H133"/>
    <mergeCell ref="A143:B143"/>
    <mergeCell ref="C143:H143"/>
    <mergeCell ref="A213:H213"/>
    <mergeCell ref="A231:H231"/>
    <mergeCell ref="A233:G233"/>
  </mergeCells>
  <printOptions horizontalCentered="1"/>
  <pageMargins left="0.7874015748031497" right="0.3937007874015748" top="0.7874015748031497" bottom="0.7874015748031497" header="0.11811023622047245" footer="0.11811023622047245"/>
  <pageSetup fitToHeight="6" horizontalDpi="600" verticalDpi="600" orientation="portrait" paperSize="9" scale="71" r:id="rId1"/>
  <rowBreaks count="4" manualBreakCount="4">
    <brk id="39" max="7" man="1"/>
    <brk id="88" max="7" man="1"/>
    <brk id="177" max="7" man="1"/>
    <brk id="20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238"/>
  <sheetViews>
    <sheetView view="pageBreakPreview" zoomScale="85" zoomScaleNormal="70" zoomScaleSheetLayoutView="85" zoomScalePageLayoutView="0" workbookViewId="0" topLeftCell="A1">
      <selection activeCell="A1" sqref="A1:B1"/>
    </sheetView>
  </sheetViews>
  <sheetFormatPr defaultColWidth="9.00390625" defaultRowHeight="12.75" outlineLevelCol="1"/>
  <cols>
    <col min="1" max="1" width="28.625" style="1" customWidth="1"/>
    <col min="2" max="2" width="18.875" style="1" customWidth="1"/>
    <col min="3" max="3" width="18.50390625" style="1" hidden="1" customWidth="1" outlineLevel="1"/>
    <col min="4" max="4" width="16.50390625" style="1" hidden="1" customWidth="1" outlineLevel="1"/>
    <col min="5" max="5" width="27.875" style="1" customWidth="1" collapsed="1"/>
    <col min="6" max="8" width="17.875" style="1" customWidth="1"/>
    <col min="9" max="10" width="0" style="1" hidden="1" customWidth="1" outlineLevel="1"/>
    <col min="11" max="11" width="25.875" style="1" hidden="1" customWidth="1" outlineLevel="1"/>
    <col min="12" max="12" width="20.375" style="1" hidden="1" customWidth="1" outlineLevel="1"/>
    <col min="13" max="13" width="28.00390625" style="1" hidden="1" customWidth="1" outlineLevel="1"/>
    <col min="14" max="16" width="0" style="1" hidden="1" customWidth="1" outlineLevel="1"/>
    <col min="17" max="17" width="0" style="0" hidden="1" customWidth="1" outlineLevel="1"/>
    <col min="18" max="18" width="9.125" style="0" customWidth="1" collapsed="1"/>
    <col min="21" max="21" width="9.50390625" style="0" bestFit="1" customWidth="1"/>
  </cols>
  <sheetData>
    <row r="1" spans="1:15" ht="52.5" customHeight="1" thickBot="1">
      <c r="A1" s="177" t="s">
        <v>267</v>
      </c>
      <c r="B1" s="178"/>
      <c r="C1" s="95"/>
      <c r="D1" s="95"/>
      <c r="E1" s="95"/>
      <c r="F1" s="94" t="s">
        <v>111</v>
      </c>
      <c r="G1" s="94"/>
      <c r="H1" s="94"/>
      <c r="J1" s="17" t="s">
        <v>55</v>
      </c>
      <c r="K1" s="17"/>
      <c r="L1" s="17"/>
      <c r="M1" s="17"/>
      <c r="N1" s="18">
        <v>6048</v>
      </c>
      <c r="O1" t="s">
        <v>56</v>
      </c>
    </row>
    <row r="2" spans="1:15" ht="15.75" thickBot="1">
      <c r="A2" s="1" t="s">
        <v>51</v>
      </c>
      <c r="B2" s="1">
        <v>3</v>
      </c>
      <c r="F2" s="25" t="s">
        <v>112</v>
      </c>
      <c r="G2" s="25"/>
      <c r="H2" s="93">
        <f>H25+H38+H51+H60+H74+H87+H105+H115+H131+H141+H176+H185+H194+H201+H208+H226+H230+H90+H234</f>
        <v>17.768284388374898</v>
      </c>
      <c r="J2" t="s">
        <v>57</v>
      </c>
      <c r="K2"/>
      <c r="L2"/>
      <c r="M2"/>
      <c r="N2">
        <v>164.2</v>
      </c>
      <c r="O2" t="s">
        <v>58</v>
      </c>
    </row>
    <row r="3" spans="1:15" ht="13.5" thickBot="1">
      <c r="A3" s="1" t="s">
        <v>52</v>
      </c>
      <c r="B3" s="1">
        <v>4</v>
      </c>
      <c r="J3"/>
      <c r="K3" s="165" t="s">
        <v>59</v>
      </c>
      <c r="L3" s="166"/>
      <c r="M3" s="166"/>
      <c r="N3"/>
      <c r="O3"/>
    </row>
    <row r="4" spans="1:15" ht="27" thickBot="1">
      <c r="A4" s="1" t="s">
        <v>215</v>
      </c>
      <c r="B4" s="1">
        <v>3817</v>
      </c>
      <c r="J4"/>
      <c r="K4" s="19" t="s">
        <v>4</v>
      </c>
      <c r="L4" s="19" t="s">
        <v>60</v>
      </c>
      <c r="M4" s="19" t="s">
        <v>61</v>
      </c>
      <c r="N4"/>
      <c r="O4"/>
    </row>
    <row r="5" spans="1:15" ht="13.5" thickBot="1">
      <c r="A5" s="1" t="s">
        <v>216</v>
      </c>
      <c r="B5" s="1">
        <v>2842</v>
      </c>
      <c r="J5"/>
      <c r="K5" s="20">
        <v>1</v>
      </c>
      <c r="L5" s="20">
        <v>1</v>
      </c>
      <c r="M5" s="21">
        <f>SUM(N1/N2)</f>
        <v>36.833130328867234</v>
      </c>
      <c r="N5"/>
      <c r="O5"/>
    </row>
    <row r="6" spans="1:15" ht="27" thickBot="1">
      <c r="A6" s="6" t="s">
        <v>217</v>
      </c>
      <c r="B6" s="1">
        <f>B5*0.15</f>
        <v>426.3</v>
      </c>
      <c r="J6"/>
      <c r="K6" s="20">
        <v>2</v>
      </c>
      <c r="L6" s="20">
        <v>1.3</v>
      </c>
      <c r="M6" s="21">
        <f>SUM(M5*L6)</f>
        <v>47.88306942752741</v>
      </c>
      <c r="N6"/>
      <c r="O6"/>
    </row>
    <row r="7" spans="1:19" ht="27" thickBot="1">
      <c r="A7" s="6" t="s">
        <v>218</v>
      </c>
      <c r="B7" s="1">
        <v>2471</v>
      </c>
      <c r="J7"/>
      <c r="K7" s="20">
        <v>3</v>
      </c>
      <c r="L7" s="20">
        <v>1.69</v>
      </c>
      <c r="M7" s="21">
        <f>SUM(M5*L7)</f>
        <v>62.24799025578562</v>
      </c>
      <c r="N7"/>
      <c r="O7"/>
      <c r="S7">
        <v>17.77</v>
      </c>
    </row>
    <row r="8" spans="1:23" s="16" customFormat="1" ht="13.5" thickBot="1">
      <c r="A8" s="15" t="s">
        <v>219</v>
      </c>
      <c r="B8" s="15">
        <f>B7*0.3</f>
        <v>741.3</v>
      </c>
      <c r="C8" s="15"/>
      <c r="D8" s="15"/>
      <c r="E8" s="15"/>
      <c r="F8" s="15"/>
      <c r="G8" s="15"/>
      <c r="H8" s="15"/>
      <c r="I8" s="15"/>
      <c r="J8"/>
      <c r="K8" s="20">
        <v>4</v>
      </c>
      <c r="L8" s="20">
        <v>1.91</v>
      </c>
      <c r="M8" s="21">
        <f>SUM(M5*L8)</f>
        <v>70.35127892813641</v>
      </c>
      <c r="N8"/>
      <c r="O8"/>
      <c r="P8" s="15"/>
      <c r="S8" s="67">
        <f>S7-H2</f>
        <v>0.0017156116251015874</v>
      </c>
      <c r="W8" s="16">
        <f>B7/B4</f>
        <v>0.6473670421797223</v>
      </c>
    </row>
    <row r="9" spans="1:23" s="16" customFormat="1" ht="13.5" thickBot="1">
      <c r="A9" s="15" t="s">
        <v>220</v>
      </c>
      <c r="B9" s="15">
        <f>B7-B8</f>
        <v>1729.7</v>
      </c>
      <c r="C9" s="15"/>
      <c r="D9" s="15"/>
      <c r="E9" s="15"/>
      <c r="F9" s="15"/>
      <c r="G9" s="15"/>
      <c r="H9" s="15"/>
      <c r="I9" s="15"/>
      <c r="J9"/>
      <c r="K9" s="20">
        <v>5</v>
      </c>
      <c r="L9" s="20">
        <v>2.16</v>
      </c>
      <c r="M9" s="21">
        <f>SUM(M5*L9)</f>
        <v>79.55956151035323</v>
      </c>
      <c r="N9"/>
      <c r="O9"/>
      <c r="P9" s="15"/>
      <c r="W9" s="16">
        <f>W8*3817</f>
        <v>2471</v>
      </c>
    </row>
    <row r="10" spans="1:15" ht="13.5" thickBot="1">
      <c r="A10" s="1" t="s">
        <v>221</v>
      </c>
      <c r="B10" s="1">
        <v>698</v>
      </c>
      <c r="J10"/>
      <c r="K10" s="20">
        <v>6</v>
      </c>
      <c r="L10" s="20">
        <v>2.44</v>
      </c>
      <c r="M10" s="21">
        <f>SUM(M5*L10)</f>
        <v>89.87283800243605</v>
      </c>
      <c r="N10"/>
      <c r="O10"/>
    </row>
    <row r="11" spans="1:13" ht="13.5" thickBot="1">
      <c r="A11" s="173" t="s">
        <v>239</v>
      </c>
      <c r="B11" s="174"/>
      <c r="C11" s="174"/>
      <c r="D11" s="174"/>
      <c r="E11" s="174"/>
      <c r="F11" s="174"/>
      <c r="G11" s="174"/>
      <c r="H11" s="174"/>
      <c r="K11" s="20">
        <v>7</v>
      </c>
      <c r="L11" s="20">
        <v>2.76</v>
      </c>
      <c r="M11" s="21">
        <f>SUM(M5*L11)</f>
        <v>101.65943970767356</v>
      </c>
    </row>
    <row r="12" spans="1:13" ht="13.5" thickBot="1">
      <c r="A12" s="7"/>
      <c r="B12" s="8"/>
      <c r="C12" s="8"/>
      <c r="D12" s="8"/>
      <c r="E12" s="8"/>
      <c r="F12" s="8"/>
      <c r="G12" s="8"/>
      <c r="H12" s="8"/>
      <c r="K12" s="20">
        <v>8</v>
      </c>
      <c r="L12" s="20">
        <v>3.12</v>
      </c>
      <c r="M12" s="21">
        <f>SUM(M5*L12)</f>
        <v>114.91936662606578</v>
      </c>
    </row>
    <row r="13" spans="1:15" ht="40.5" customHeight="1" thickBot="1">
      <c r="A13" s="167" t="s">
        <v>236</v>
      </c>
      <c r="B13" s="168"/>
      <c r="C13" s="169" t="s">
        <v>2</v>
      </c>
      <c r="D13" s="170"/>
      <c r="E13" s="170"/>
      <c r="F13" s="170"/>
      <c r="G13" s="170"/>
      <c r="H13" s="170"/>
      <c r="J13"/>
      <c r="K13" s="20">
        <v>9</v>
      </c>
      <c r="L13" s="20">
        <v>3.53</v>
      </c>
      <c r="M13" s="21">
        <f>SUM(M5*L13)</f>
        <v>130.02095006090133</v>
      </c>
      <c r="N13"/>
      <c r="O13"/>
    </row>
    <row r="14" spans="1:15" ht="90.75" customHeight="1" thickBot="1">
      <c r="A14" s="13" t="s">
        <v>3</v>
      </c>
      <c r="B14" s="13" t="s">
        <v>4</v>
      </c>
      <c r="C14" s="13" t="s">
        <v>0</v>
      </c>
      <c r="D14" s="13" t="s">
        <v>1</v>
      </c>
      <c r="E14" s="13" t="s">
        <v>5</v>
      </c>
      <c r="F14" s="14" t="s">
        <v>46</v>
      </c>
      <c r="G14" s="14" t="s">
        <v>225</v>
      </c>
      <c r="H14" s="14" t="s">
        <v>49</v>
      </c>
      <c r="J14"/>
      <c r="K14" s="20">
        <v>10</v>
      </c>
      <c r="L14" s="20">
        <v>3.99</v>
      </c>
      <c r="M14" s="21">
        <f>SUM(M5*L14)</f>
        <v>146.96419001218027</v>
      </c>
      <c r="N14"/>
      <c r="O14"/>
    </row>
    <row r="15" spans="1:15" ht="27" thickBot="1">
      <c r="A15" s="3" t="s">
        <v>53</v>
      </c>
      <c r="B15" s="59">
        <v>2</v>
      </c>
      <c r="C15" s="2">
        <f>B6</f>
        <v>426.3</v>
      </c>
      <c r="D15" s="26">
        <v>1171</v>
      </c>
      <c r="E15" s="64">
        <f>C15*D15/1000</f>
        <v>499.1973</v>
      </c>
      <c r="F15" s="64">
        <f>M6</f>
        <v>47.88306942752741</v>
      </c>
      <c r="G15" s="54">
        <f>E15*F15*1.42*1.15*1.302</f>
        <v>50821.95633301383</v>
      </c>
      <c r="H15" s="11"/>
      <c r="J15"/>
      <c r="K15" s="20">
        <v>11</v>
      </c>
      <c r="L15" s="20">
        <v>4.51</v>
      </c>
      <c r="M15" s="21">
        <f>SUM(M5*L15)</f>
        <v>166.11741778319123</v>
      </c>
      <c r="N15"/>
      <c r="O15"/>
    </row>
    <row r="16" spans="1:15" ht="13.5" thickBot="1">
      <c r="A16" s="9" t="s">
        <v>11</v>
      </c>
      <c r="B16" s="10" t="s">
        <v>42</v>
      </c>
      <c r="C16" s="10" t="s">
        <v>0</v>
      </c>
      <c r="D16" s="10" t="s">
        <v>1</v>
      </c>
      <c r="E16" s="65" t="s">
        <v>43</v>
      </c>
      <c r="F16" s="65" t="s">
        <v>47</v>
      </c>
      <c r="G16" s="66" t="s">
        <v>145</v>
      </c>
      <c r="H16" s="12"/>
      <c r="J16"/>
      <c r="K16" s="20">
        <v>12</v>
      </c>
      <c r="L16" s="20">
        <v>5.1</v>
      </c>
      <c r="M16" s="21">
        <f>SUM(M5*L16)</f>
        <v>187.84896467722288</v>
      </c>
      <c r="N16"/>
      <c r="O16"/>
    </row>
    <row r="17" spans="1:15" ht="13.5" thickBot="1">
      <c r="A17" s="4" t="s">
        <v>6</v>
      </c>
      <c r="B17" s="26" t="s">
        <v>62</v>
      </c>
      <c r="C17" s="2">
        <f>B6</f>
        <v>426.3</v>
      </c>
      <c r="D17" s="5">
        <v>0.85</v>
      </c>
      <c r="E17" s="64">
        <f aca="true" t="shared" si="0" ref="E17:E23">C17*D17/1000</f>
        <v>0.36235500000000004</v>
      </c>
      <c r="F17" s="64">
        <v>145</v>
      </c>
      <c r="G17" s="54">
        <f aca="true" t="shared" si="1" ref="G17:G23">E17*F17</f>
        <v>52.541475000000005</v>
      </c>
      <c r="H17" s="2"/>
      <c r="J17"/>
      <c r="K17" s="20">
        <v>13</v>
      </c>
      <c r="L17" s="20">
        <v>5.76</v>
      </c>
      <c r="M17" s="21">
        <f>SUM(M5*L17)</f>
        <v>212.15883069427525</v>
      </c>
      <c r="N17"/>
      <c r="O17"/>
    </row>
    <row r="18" spans="1:15" ht="13.5" thickBot="1">
      <c r="A18" s="4" t="s">
        <v>7</v>
      </c>
      <c r="B18" s="26" t="s">
        <v>62</v>
      </c>
      <c r="C18" s="2">
        <f>B6</f>
        <v>426.3</v>
      </c>
      <c r="D18" s="5">
        <v>10.15</v>
      </c>
      <c r="E18" s="64">
        <f t="shared" si="0"/>
        <v>4.326945</v>
      </c>
      <c r="F18" s="64">
        <v>84</v>
      </c>
      <c r="G18" s="54">
        <f t="shared" si="1"/>
        <v>363.46338000000003</v>
      </c>
      <c r="H18" s="2"/>
      <c r="J18"/>
      <c r="K18" s="20">
        <v>14</v>
      </c>
      <c r="L18" s="20">
        <v>6.51</v>
      </c>
      <c r="M18" s="21">
        <f>SUM(M5*L18)</f>
        <v>239.78367844092568</v>
      </c>
      <c r="N18"/>
      <c r="O18"/>
    </row>
    <row r="19" spans="1:15" ht="13.5" thickBot="1">
      <c r="A19" s="4" t="s">
        <v>206</v>
      </c>
      <c r="B19" s="26" t="s">
        <v>62</v>
      </c>
      <c r="C19" s="2">
        <f>B6</f>
        <v>426.3</v>
      </c>
      <c r="D19" s="5">
        <v>0.42</v>
      </c>
      <c r="E19" s="64">
        <f t="shared" si="0"/>
        <v>0.17904599999999998</v>
      </c>
      <c r="F19" s="64">
        <v>64</v>
      </c>
      <c r="G19" s="54">
        <f t="shared" si="1"/>
        <v>11.458943999999999</v>
      </c>
      <c r="H19" s="2"/>
      <c r="J19"/>
      <c r="K19" s="20">
        <v>15</v>
      </c>
      <c r="L19" s="20">
        <v>7.36</v>
      </c>
      <c r="M19" s="21">
        <f>SUM(M5*L19)</f>
        <v>271.0918392204629</v>
      </c>
      <c r="N19"/>
      <c r="O19"/>
    </row>
    <row r="20" spans="1:15" ht="13.5" thickBot="1">
      <c r="A20" s="4" t="s">
        <v>9</v>
      </c>
      <c r="B20" s="26" t="s">
        <v>62</v>
      </c>
      <c r="C20" s="2">
        <f>B6</f>
        <v>426.3</v>
      </c>
      <c r="D20" s="5">
        <v>0.85</v>
      </c>
      <c r="E20" s="64">
        <f t="shared" si="0"/>
        <v>0.36235500000000004</v>
      </c>
      <c r="F20" s="64">
        <v>83.5</v>
      </c>
      <c r="G20" s="54">
        <f t="shared" si="1"/>
        <v>30.2566425</v>
      </c>
      <c r="H20" s="2"/>
      <c r="J20"/>
      <c r="K20" s="20">
        <v>16</v>
      </c>
      <c r="L20" s="20">
        <v>8.17</v>
      </c>
      <c r="M20" s="21">
        <f>SUM(M5*L20)</f>
        <v>300.9266747868453</v>
      </c>
      <c r="N20"/>
      <c r="O20"/>
    </row>
    <row r="21" spans="1:15" ht="13.5" thickBot="1">
      <c r="A21" s="4" t="s">
        <v>207</v>
      </c>
      <c r="B21" s="26" t="s">
        <v>36</v>
      </c>
      <c r="C21" s="2">
        <f>C17</f>
        <v>426.3</v>
      </c>
      <c r="D21" s="5">
        <v>0.93</v>
      </c>
      <c r="E21" s="64">
        <f t="shared" si="0"/>
        <v>0.396459</v>
      </c>
      <c r="F21" s="64">
        <v>45</v>
      </c>
      <c r="G21" s="54">
        <f t="shared" si="1"/>
        <v>17.840655</v>
      </c>
      <c r="H21" s="2"/>
      <c r="J21"/>
      <c r="K21" s="20"/>
      <c r="L21" s="20"/>
      <c r="M21" s="21"/>
      <c r="N21"/>
      <c r="O21"/>
    </row>
    <row r="22" spans="1:15" ht="13.5" thickBot="1">
      <c r="A22" s="4" t="s">
        <v>50</v>
      </c>
      <c r="B22" s="26" t="s">
        <v>36</v>
      </c>
      <c r="C22" s="2">
        <f>C17</f>
        <v>426.3</v>
      </c>
      <c r="D22" s="5">
        <v>0.82</v>
      </c>
      <c r="E22" s="64">
        <f t="shared" si="0"/>
        <v>0.349566</v>
      </c>
      <c r="F22" s="64">
        <v>25.5</v>
      </c>
      <c r="G22" s="54">
        <f t="shared" si="1"/>
        <v>8.913933</v>
      </c>
      <c r="H22" s="2"/>
      <c r="J22"/>
      <c r="K22" s="20"/>
      <c r="L22" s="20"/>
      <c r="M22" s="21"/>
      <c r="N22"/>
      <c r="O22"/>
    </row>
    <row r="23" spans="1:15" ht="13.5" thickBot="1">
      <c r="A23" s="4" t="s">
        <v>10</v>
      </c>
      <c r="B23" s="26" t="s">
        <v>62</v>
      </c>
      <c r="C23" s="2">
        <f>B6</f>
        <v>426.3</v>
      </c>
      <c r="D23" s="5">
        <v>0.85</v>
      </c>
      <c r="E23" s="64">
        <f t="shared" si="0"/>
        <v>0.36235500000000004</v>
      </c>
      <c r="F23" s="64">
        <f>28.06*3.5</f>
        <v>98.21</v>
      </c>
      <c r="G23" s="54">
        <f t="shared" si="1"/>
        <v>35.58688455</v>
      </c>
      <c r="H23" s="2"/>
      <c r="J23"/>
      <c r="K23" s="20">
        <v>18</v>
      </c>
      <c r="L23" s="20">
        <v>10.07</v>
      </c>
      <c r="M23" s="21">
        <f>SUM(M5*L23)</f>
        <v>370.9096224116931</v>
      </c>
      <c r="N23"/>
      <c r="O23"/>
    </row>
    <row r="24" spans="1:15" ht="12.75">
      <c r="A24" s="4" t="s">
        <v>209</v>
      </c>
      <c r="B24" s="26"/>
      <c r="C24" s="2"/>
      <c r="D24" s="5"/>
      <c r="E24" s="64"/>
      <c r="F24" s="64"/>
      <c r="G24" s="54">
        <f>E15*спецодежда!G24</f>
        <v>766.9512490017106</v>
      </c>
      <c r="H24" s="2"/>
      <c r="J24"/>
      <c r="K24" s="69"/>
      <c r="L24" s="69"/>
      <c r="M24" s="70"/>
      <c r="N24"/>
      <c r="O24"/>
    </row>
    <row r="25" spans="1:15" ht="15">
      <c r="A25" s="9" t="s">
        <v>48</v>
      </c>
      <c r="B25" s="10"/>
      <c r="C25" s="10"/>
      <c r="D25" s="10"/>
      <c r="E25" s="10"/>
      <c r="F25" s="10"/>
      <c r="G25" s="66">
        <f>G15+G17+G18+G19+G20+G23+G21+G22+G24</f>
        <v>52108.96949606554</v>
      </c>
      <c r="H25" s="41">
        <f>G25/12/B5</f>
        <v>1.5279430417565547</v>
      </c>
      <c r="J25"/>
      <c r="N25"/>
      <c r="O25"/>
    </row>
    <row r="26" spans="10:15" ht="12.75">
      <c r="J26"/>
      <c r="N26"/>
      <c r="O26"/>
    </row>
    <row r="27" spans="1:28" s="1" customFormat="1" ht="28.5" customHeight="1">
      <c r="A27" s="167" t="s">
        <v>238</v>
      </c>
      <c r="B27" s="168"/>
      <c r="C27" s="169" t="s">
        <v>13</v>
      </c>
      <c r="D27" s="170"/>
      <c r="E27" s="170"/>
      <c r="F27" s="170"/>
      <c r="G27" s="170"/>
      <c r="H27" s="170"/>
      <c r="Q27"/>
      <c r="R27"/>
      <c r="S27"/>
      <c r="T27"/>
      <c r="U27"/>
      <c r="V27"/>
      <c r="W27"/>
      <c r="X27"/>
      <c r="Y27"/>
      <c r="Z27"/>
      <c r="AA27"/>
      <c r="AB27"/>
    </row>
    <row r="28" spans="1:28" s="1" customFormat="1" ht="91.5" customHeight="1" thickBot="1">
      <c r="A28" s="13" t="s">
        <v>3</v>
      </c>
      <c r="B28" s="13" t="s">
        <v>4</v>
      </c>
      <c r="C28" s="13" t="s">
        <v>0</v>
      </c>
      <c r="D28" s="13" t="s">
        <v>1</v>
      </c>
      <c r="E28" s="13" t="s">
        <v>5</v>
      </c>
      <c r="F28" s="14" t="s">
        <v>46</v>
      </c>
      <c r="G28" s="14" t="s">
        <v>225</v>
      </c>
      <c r="H28" s="14" t="s">
        <v>49</v>
      </c>
      <c r="Q28"/>
      <c r="R28"/>
      <c r="S28"/>
      <c r="T28"/>
      <c r="U28"/>
      <c r="V28"/>
      <c r="W28"/>
      <c r="X28"/>
      <c r="Y28"/>
      <c r="Z28"/>
      <c r="AA28"/>
      <c r="AB28"/>
    </row>
    <row r="29" spans="1:28" s="1" customFormat="1" ht="13.5" thickBot="1">
      <c r="A29" s="3" t="s">
        <v>14</v>
      </c>
      <c r="B29" s="59">
        <v>1</v>
      </c>
      <c r="C29" s="2">
        <f>$B$8</f>
        <v>741.3</v>
      </c>
      <c r="D29" s="26">
        <v>137.5</v>
      </c>
      <c r="E29" s="64">
        <f>C29*D29/1000</f>
        <v>101.92875</v>
      </c>
      <c r="F29" s="64">
        <f>M5</f>
        <v>36.833130328867234</v>
      </c>
      <c r="G29" s="54">
        <f>E29*F29*1.42*1.15*1.302</f>
        <v>7982.381810495004</v>
      </c>
      <c r="H29" s="11"/>
      <c r="J29"/>
      <c r="K29" s="20"/>
      <c r="L29" s="20"/>
      <c r="M29" s="21"/>
      <c r="N29"/>
      <c r="O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" customFormat="1" ht="13.5" thickBot="1">
      <c r="A30" s="9" t="s">
        <v>11</v>
      </c>
      <c r="B30" s="10" t="s">
        <v>42</v>
      </c>
      <c r="C30" s="10" t="s">
        <v>0</v>
      </c>
      <c r="D30" s="10" t="s">
        <v>1</v>
      </c>
      <c r="E30" s="10" t="s">
        <v>43</v>
      </c>
      <c r="F30" s="10" t="s">
        <v>47</v>
      </c>
      <c r="G30" s="12" t="s">
        <v>145</v>
      </c>
      <c r="H30" s="12"/>
      <c r="Q30"/>
      <c r="R30"/>
      <c r="S30"/>
      <c r="T30"/>
      <c r="U30"/>
      <c r="V30"/>
      <c r="W30"/>
      <c r="X30"/>
      <c r="Y30"/>
      <c r="Z30"/>
      <c r="AA30"/>
      <c r="AB30"/>
    </row>
    <row r="31" spans="1:28" s="1" customFormat="1" ht="13.5" thickBot="1">
      <c r="A31" s="4" t="s">
        <v>6</v>
      </c>
      <c r="B31" s="26" t="s">
        <v>62</v>
      </c>
      <c r="C31" s="2">
        <f>C29</f>
        <v>741.3</v>
      </c>
      <c r="D31" s="5">
        <v>0.03</v>
      </c>
      <c r="E31" s="64">
        <f aca="true" t="shared" si="2" ref="E31:E36">C31*D31/1000</f>
        <v>0.022239</v>
      </c>
      <c r="F31" s="78">
        <f>F17</f>
        <v>145</v>
      </c>
      <c r="G31" s="54">
        <f aca="true" t="shared" si="3" ref="G31:G36">E31*F31</f>
        <v>3.224655</v>
      </c>
      <c r="H31" s="2"/>
      <c r="J31"/>
      <c r="K31" s="20"/>
      <c r="L31" s="20"/>
      <c r="M31" s="21"/>
      <c r="N31"/>
      <c r="O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" customFormat="1" ht="13.5" thickBot="1">
      <c r="A32" s="4" t="s">
        <v>15</v>
      </c>
      <c r="B32" s="26" t="s">
        <v>62</v>
      </c>
      <c r="C32" s="2">
        <f>C29</f>
        <v>741.3</v>
      </c>
      <c r="D32" s="5">
        <v>0.03</v>
      </c>
      <c r="E32" s="64">
        <f t="shared" si="2"/>
        <v>0.022239</v>
      </c>
      <c r="F32" s="78">
        <v>210</v>
      </c>
      <c r="G32" s="54">
        <f t="shared" si="3"/>
        <v>4.67019</v>
      </c>
      <c r="H32" s="2"/>
      <c r="J32"/>
      <c r="K32" s="20"/>
      <c r="L32" s="20"/>
      <c r="M32" s="21"/>
      <c r="N32"/>
      <c r="O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" customFormat="1" ht="13.5" thickBot="1">
      <c r="A33" s="4" t="s">
        <v>16</v>
      </c>
      <c r="B33" s="26" t="s">
        <v>62</v>
      </c>
      <c r="C33" s="2">
        <f>C29</f>
        <v>741.3</v>
      </c>
      <c r="D33" s="5">
        <v>0.1</v>
      </c>
      <c r="E33" s="64">
        <f t="shared" si="2"/>
        <v>0.07413</v>
      </c>
      <c r="F33" s="78">
        <v>175</v>
      </c>
      <c r="G33" s="54">
        <f t="shared" si="3"/>
        <v>12.97275</v>
      </c>
      <c r="H33" s="2"/>
      <c r="J33"/>
      <c r="K33" s="20"/>
      <c r="L33" s="20"/>
      <c r="M33" s="21"/>
      <c r="N33"/>
      <c r="O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" customFormat="1" ht="13.5" thickBot="1">
      <c r="A34" s="4" t="s">
        <v>17</v>
      </c>
      <c r="B34" s="26" t="s">
        <v>62</v>
      </c>
      <c r="C34" s="2">
        <f>C29</f>
        <v>741.3</v>
      </c>
      <c r="D34" s="5">
        <v>5.1</v>
      </c>
      <c r="E34" s="64">
        <f t="shared" si="2"/>
        <v>3.7806299999999995</v>
      </c>
      <c r="F34" s="78">
        <v>65</v>
      </c>
      <c r="G34" s="54">
        <f t="shared" si="3"/>
        <v>245.74094999999997</v>
      </c>
      <c r="H34" s="2"/>
      <c r="J34"/>
      <c r="K34" s="20"/>
      <c r="L34" s="20"/>
      <c r="M34" s="21"/>
      <c r="N34"/>
      <c r="O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" customFormat="1" ht="27" thickBot="1">
      <c r="A35" s="4" t="s">
        <v>18</v>
      </c>
      <c r="B35" s="26" t="s">
        <v>62</v>
      </c>
      <c r="C35" s="2">
        <f>C29</f>
        <v>741.3</v>
      </c>
      <c r="D35" s="5">
        <v>34.8</v>
      </c>
      <c r="E35" s="64">
        <f t="shared" si="2"/>
        <v>25.79724</v>
      </c>
      <c r="F35" s="78">
        <v>19.7</v>
      </c>
      <c r="G35" s="54">
        <f t="shared" si="3"/>
        <v>508.20562799999993</v>
      </c>
      <c r="H35" s="2"/>
      <c r="J35"/>
      <c r="K35" s="20"/>
      <c r="L35" s="20"/>
      <c r="M35" s="21"/>
      <c r="N35"/>
      <c r="O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" customFormat="1" ht="13.5" thickBot="1">
      <c r="A36" s="4" t="s">
        <v>19</v>
      </c>
      <c r="B36" s="26" t="s">
        <v>62</v>
      </c>
      <c r="C36" s="2">
        <f>C29</f>
        <v>741.3</v>
      </c>
      <c r="D36" s="5">
        <v>0.05</v>
      </c>
      <c r="E36" s="64">
        <f t="shared" si="2"/>
        <v>0.037065</v>
      </c>
      <c r="F36" s="78">
        <v>2500</v>
      </c>
      <c r="G36" s="54">
        <f t="shared" si="3"/>
        <v>92.66250000000001</v>
      </c>
      <c r="H36" s="2"/>
      <c r="J36"/>
      <c r="K36" s="20"/>
      <c r="L36" s="20"/>
      <c r="M36" s="21"/>
      <c r="N36"/>
      <c r="O36"/>
      <c r="Q36"/>
      <c r="R36"/>
      <c r="S36"/>
      <c r="T36"/>
      <c r="U36"/>
      <c r="V36"/>
      <c r="W36"/>
      <c r="X36"/>
      <c r="Y36"/>
      <c r="Z36"/>
      <c r="AA36"/>
      <c r="AB36"/>
    </row>
    <row r="37" spans="1:28" s="1" customFormat="1" ht="12.75">
      <c r="A37" s="4" t="s">
        <v>209</v>
      </c>
      <c r="B37" s="26"/>
      <c r="C37" s="2"/>
      <c r="D37" s="5"/>
      <c r="E37" s="64"/>
      <c r="F37" s="78"/>
      <c r="G37" s="54">
        <f>E29*спецодежда!G14</f>
        <v>179.58182308629773</v>
      </c>
      <c r="H37" s="2"/>
      <c r="J37"/>
      <c r="K37" s="69"/>
      <c r="L37" s="69"/>
      <c r="M37" s="70"/>
      <c r="N37"/>
      <c r="O37"/>
      <c r="Q37"/>
      <c r="R37"/>
      <c r="S37"/>
      <c r="T37"/>
      <c r="U37"/>
      <c r="V37"/>
      <c r="W37"/>
      <c r="X37"/>
      <c r="Y37"/>
      <c r="Z37"/>
      <c r="AA37"/>
      <c r="AB37"/>
    </row>
    <row r="38" spans="1:28" s="1" customFormat="1" ht="15">
      <c r="A38" s="9" t="s">
        <v>48</v>
      </c>
      <c r="B38" s="10"/>
      <c r="C38" s="10"/>
      <c r="D38" s="10"/>
      <c r="E38" s="10"/>
      <c r="F38" s="10"/>
      <c r="G38" s="66">
        <f>G29+G31+G32+G33+G34+G35+G36+G37</f>
        <v>9029.4403065813</v>
      </c>
      <c r="H38" s="41">
        <f>G38/12/B5</f>
        <v>0.2647619137515042</v>
      </c>
      <c r="J38"/>
      <c r="N38"/>
      <c r="O38"/>
      <c r="Q38"/>
      <c r="R38"/>
      <c r="S38"/>
      <c r="T38"/>
      <c r="U38"/>
      <c r="V38"/>
      <c r="W38"/>
      <c r="X38"/>
      <c r="Y38"/>
      <c r="Z38"/>
      <c r="AA38"/>
      <c r="AB38"/>
    </row>
    <row r="40" spans="1:28" s="1" customFormat="1" ht="20.25" customHeight="1">
      <c r="A40" s="167" t="s">
        <v>240</v>
      </c>
      <c r="B40" s="168"/>
      <c r="C40" s="169" t="s">
        <v>232</v>
      </c>
      <c r="D40" s="170"/>
      <c r="E40" s="170"/>
      <c r="F40" s="170"/>
      <c r="G40" s="170"/>
      <c r="H40" s="170"/>
      <c r="Q40"/>
      <c r="R40"/>
      <c r="S40"/>
      <c r="T40"/>
      <c r="U40"/>
      <c r="V40"/>
      <c r="W40"/>
      <c r="X40"/>
      <c r="Y40"/>
      <c r="Z40"/>
      <c r="AA40"/>
      <c r="AB40"/>
    </row>
    <row r="41" spans="1:28" s="1" customFormat="1" ht="91.5" customHeight="1" thickBot="1">
      <c r="A41" s="13" t="s">
        <v>3</v>
      </c>
      <c r="B41" s="13" t="s">
        <v>4</v>
      </c>
      <c r="C41" s="13" t="s">
        <v>0</v>
      </c>
      <c r="D41" s="13" t="s">
        <v>1</v>
      </c>
      <c r="E41" s="13" t="s">
        <v>5</v>
      </c>
      <c r="F41" s="14" t="s">
        <v>46</v>
      </c>
      <c r="G41" s="14" t="s">
        <v>225</v>
      </c>
      <c r="H41" s="14" t="s">
        <v>49</v>
      </c>
      <c r="Q41"/>
      <c r="R41"/>
      <c r="S41"/>
      <c r="T41"/>
      <c r="U41"/>
      <c r="V41"/>
      <c r="W41"/>
      <c r="X41"/>
      <c r="Y41"/>
      <c r="Z41"/>
      <c r="AA41"/>
      <c r="AB41"/>
    </row>
    <row r="42" spans="1:28" s="1" customFormat="1" ht="13.5" thickBot="1">
      <c r="A42" s="3" t="s">
        <v>14</v>
      </c>
      <c r="B42" s="59">
        <v>1</v>
      </c>
      <c r="C42" s="2">
        <f>B9</f>
        <v>1729.7</v>
      </c>
      <c r="D42" s="26">
        <v>318</v>
      </c>
      <c r="E42" s="64">
        <f>C42*D42/1000</f>
        <v>550.0446</v>
      </c>
      <c r="F42" s="64">
        <f>M5</f>
        <v>36.833130328867234</v>
      </c>
      <c r="G42" s="54">
        <f>E42*F42*1.42*1.15*1.302</f>
        <v>43075.83493372577</v>
      </c>
      <c r="H42" s="11"/>
      <c r="J42"/>
      <c r="K42" s="20"/>
      <c r="L42" s="20"/>
      <c r="M42" s="21"/>
      <c r="N42"/>
      <c r="O42"/>
      <c r="Q42"/>
      <c r="R42"/>
      <c r="S42"/>
      <c r="T42"/>
      <c r="U42"/>
      <c r="V42"/>
      <c r="W42"/>
      <c r="X42"/>
      <c r="Y42"/>
      <c r="Z42"/>
      <c r="AA42"/>
      <c r="AB42"/>
    </row>
    <row r="43" spans="1:28" s="1" customFormat="1" ht="13.5" thickBot="1">
      <c r="A43" s="9" t="s">
        <v>11</v>
      </c>
      <c r="B43" s="10" t="s">
        <v>42</v>
      </c>
      <c r="C43" s="10" t="s">
        <v>0</v>
      </c>
      <c r="D43" s="10" t="s">
        <v>1</v>
      </c>
      <c r="E43" s="10" t="s">
        <v>43</v>
      </c>
      <c r="F43" s="10" t="s">
        <v>47</v>
      </c>
      <c r="G43" s="12" t="s">
        <v>145</v>
      </c>
      <c r="H43" s="12"/>
      <c r="Q43"/>
      <c r="R43"/>
      <c r="S43"/>
      <c r="T43"/>
      <c r="U43"/>
      <c r="V43"/>
      <c r="W43"/>
      <c r="X43"/>
      <c r="Y43"/>
      <c r="Z43"/>
      <c r="AA43"/>
      <c r="AB43"/>
    </row>
    <row r="44" spans="1:28" s="1" customFormat="1" ht="13.5" thickBot="1">
      <c r="A44" s="4" t="s">
        <v>6</v>
      </c>
      <c r="B44" s="26" t="s">
        <v>62</v>
      </c>
      <c r="C44" s="2">
        <f>C42</f>
        <v>1729.7</v>
      </c>
      <c r="D44" s="5">
        <v>0.05</v>
      </c>
      <c r="E44" s="64">
        <f aca="true" t="shared" si="4" ref="E44:E49">C44*D44/1000</f>
        <v>0.08648500000000002</v>
      </c>
      <c r="F44" s="78">
        <f>F31</f>
        <v>145</v>
      </c>
      <c r="G44" s="54">
        <f aca="true" t="shared" si="5" ref="G44:G49">E44*F44</f>
        <v>12.540325000000003</v>
      </c>
      <c r="H44" s="2"/>
      <c r="J44"/>
      <c r="K44" s="20"/>
      <c r="L44" s="20"/>
      <c r="M44" s="21"/>
      <c r="N44"/>
      <c r="O44"/>
      <c r="Q44"/>
      <c r="R44"/>
      <c r="S44"/>
      <c r="T44"/>
      <c r="U44"/>
      <c r="V44"/>
      <c r="W44"/>
      <c r="X44"/>
      <c r="Y44"/>
      <c r="Z44"/>
      <c r="AA44"/>
      <c r="AB44"/>
    </row>
    <row r="45" spans="1:28" s="1" customFormat="1" ht="13.5" thickBot="1">
      <c r="A45" s="4" t="s">
        <v>15</v>
      </c>
      <c r="B45" s="26" t="s">
        <v>62</v>
      </c>
      <c r="C45" s="2">
        <f>C42</f>
        <v>1729.7</v>
      </c>
      <c r="D45" s="5">
        <v>0.05</v>
      </c>
      <c r="E45" s="64">
        <f t="shared" si="4"/>
        <v>0.08648500000000002</v>
      </c>
      <c r="F45" s="78">
        <f>F32</f>
        <v>210</v>
      </c>
      <c r="G45" s="54">
        <f t="shared" si="5"/>
        <v>18.161850000000005</v>
      </c>
      <c r="H45" s="2"/>
      <c r="J45"/>
      <c r="K45" s="20"/>
      <c r="L45" s="20"/>
      <c r="M45" s="21"/>
      <c r="N45"/>
      <c r="O45"/>
      <c r="Q45"/>
      <c r="R45"/>
      <c r="S45"/>
      <c r="T45"/>
      <c r="U45"/>
      <c r="V45"/>
      <c r="W45"/>
      <c r="X45"/>
      <c r="Y45"/>
      <c r="Z45"/>
      <c r="AA45"/>
      <c r="AB45"/>
    </row>
    <row r="46" spans="1:28" s="1" customFormat="1" ht="13.5" thickBot="1">
      <c r="A46" s="4" t="s">
        <v>16</v>
      </c>
      <c r="B46" s="26" t="s">
        <v>62</v>
      </c>
      <c r="C46" s="2">
        <f>C42</f>
        <v>1729.7</v>
      </c>
      <c r="D46" s="5">
        <v>0.16</v>
      </c>
      <c r="E46" s="64">
        <f t="shared" si="4"/>
        <v>0.276752</v>
      </c>
      <c r="F46" s="78">
        <f>F33</f>
        <v>175</v>
      </c>
      <c r="G46" s="54">
        <f t="shared" si="5"/>
        <v>48.4316</v>
      </c>
      <c r="H46" s="2"/>
      <c r="J46"/>
      <c r="K46" s="20"/>
      <c r="L46" s="20"/>
      <c r="M46" s="21"/>
      <c r="N46"/>
      <c r="O46"/>
      <c r="Q46"/>
      <c r="R46"/>
      <c r="S46"/>
      <c r="T46"/>
      <c r="U46"/>
      <c r="V46"/>
      <c r="W46"/>
      <c r="X46"/>
      <c r="Y46"/>
      <c r="Z46"/>
      <c r="AA46"/>
      <c r="AB46"/>
    </row>
    <row r="47" spans="1:28" s="1" customFormat="1" ht="13.5" thickBot="1">
      <c r="A47" s="4" t="s">
        <v>17</v>
      </c>
      <c r="B47" s="26" t="s">
        <v>62</v>
      </c>
      <c r="C47" s="2">
        <f>C42</f>
        <v>1729.7</v>
      </c>
      <c r="D47" s="5">
        <v>8.51</v>
      </c>
      <c r="E47" s="64">
        <f t="shared" si="4"/>
        <v>14.719747</v>
      </c>
      <c r="F47" s="78">
        <f>F34</f>
        <v>65</v>
      </c>
      <c r="G47" s="54">
        <f t="shared" si="5"/>
        <v>956.783555</v>
      </c>
      <c r="H47" s="2"/>
      <c r="J47"/>
      <c r="K47" s="20"/>
      <c r="L47" s="20"/>
      <c r="M47" s="21"/>
      <c r="N47"/>
      <c r="O47"/>
      <c r="Q47"/>
      <c r="R47"/>
      <c r="S47"/>
      <c r="T47"/>
      <c r="U47"/>
      <c r="V47"/>
      <c r="W47"/>
      <c r="X47"/>
      <c r="Y47"/>
      <c r="Z47"/>
      <c r="AA47"/>
      <c r="AB47"/>
    </row>
    <row r="48" spans="1:28" s="1" customFormat="1" ht="27" thickBot="1">
      <c r="A48" s="4" t="s">
        <v>18</v>
      </c>
      <c r="B48" s="26" t="s">
        <v>62</v>
      </c>
      <c r="C48" s="2">
        <f>C42</f>
        <v>1729.7</v>
      </c>
      <c r="D48" s="5">
        <v>58.63</v>
      </c>
      <c r="E48" s="64">
        <f t="shared" si="4"/>
        <v>101.412311</v>
      </c>
      <c r="F48" s="78">
        <f>F35</f>
        <v>19.7</v>
      </c>
      <c r="G48" s="54">
        <f t="shared" si="5"/>
        <v>1997.8225267</v>
      </c>
      <c r="H48" s="2"/>
      <c r="J48"/>
      <c r="K48" s="20"/>
      <c r="L48" s="20"/>
      <c r="M48" s="21"/>
      <c r="N48"/>
      <c r="O48"/>
      <c r="Q48"/>
      <c r="R48"/>
      <c r="S48"/>
      <c r="T48"/>
      <c r="U48"/>
      <c r="V48"/>
      <c r="W48"/>
      <c r="X48"/>
      <c r="Y48"/>
      <c r="Z48"/>
      <c r="AA48"/>
      <c r="AB48"/>
    </row>
    <row r="49" spans="1:28" s="1" customFormat="1" ht="13.5" thickBot="1">
      <c r="A49" s="4" t="s">
        <v>19</v>
      </c>
      <c r="B49" s="26" t="s">
        <v>62</v>
      </c>
      <c r="C49" s="2">
        <f>C42</f>
        <v>1729.7</v>
      </c>
      <c r="D49" s="5">
        <v>0.08</v>
      </c>
      <c r="E49" s="64">
        <f t="shared" si="4"/>
        <v>0.138376</v>
      </c>
      <c r="F49" s="78">
        <v>2500</v>
      </c>
      <c r="G49" s="54">
        <f t="shared" si="5"/>
        <v>345.94</v>
      </c>
      <c r="H49" s="2"/>
      <c r="J49"/>
      <c r="K49" s="20"/>
      <c r="L49" s="20"/>
      <c r="M49" s="21"/>
      <c r="N49"/>
      <c r="O49"/>
      <c r="Q49"/>
      <c r="R49"/>
      <c r="S49"/>
      <c r="T49"/>
      <c r="U49"/>
      <c r="V49"/>
      <c r="W49"/>
      <c r="X49"/>
      <c r="Y49"/>
      <c r="Z49"/>
      <c r="AA49"/>
      <c r="AB49"/>
    </row>
    <row r="50" spans="1:28" s="1" customFormat="1" ht="13.5" thickBot="1">
      <c r="A50" s="4" t="s">
        <v>209</v>
      </c>
      <c r="B50" s="26"/>
      <c r="C50" s="2"/>
      <c r="D50" s="5"/>
      <c r="E50" s="64"/>
      <c r="F50" s="78"/>
      <c r="G50" s="54">
        <f>E42*спецодежда!G14</f>
        <v>969.0888198547848</v>
      </c>
      <c r="H50" s="2"/>
      <c r="J50"/>
      <c r="K50" s="20"/>
      <c r="L50" s="20"/>
      <c r="M50" s="21"/>
      <c r="N50"/>
      <c r="O50"/>
      <c r="Q50"/>
      <c r="R50"/>
      <c r="S50"/>
      <c r="T50"/>
      <c r="U50"/>
      <c r="V50"/>
      <c r="W50"/>
      <c r="X50"/>
      <c r="Y50"/>
      <c r="Z50"/>
      <c r="AA50"/>
      <c r="AB50"/>
    </row>
    <row r="51" spans="1:28" s="1" customFormat="1" ht="15">
      <c r="A51" s="9" t="s">
        <v>48</v>
      </c>
      <c r="B51" s="10"/>
      <c r="C51" s="10"/>
      <c r="D51" s="10"/>
      <c r="E51" s="10"/>
      <c r="F51" s="10"/>
      <c r="G51" s="66">
        <f>G42+G44+G45+G46+G47+G48+G49+G50</f>
        <v>47424.60361028056</v>
      </c>
      <c r="H51" s="41">
        <f>G51/B5/12</f>
        <v>1.3905877202169998</v>
      </c>
      <c r="J51"/>
      <c r="N51"/>
      <c r="O51"/>
      <c r="Q51"/>
      <c r="R51"/>
      <c r="S51"/>
      <c r="T51"/>
      <c r="U51"/>
      <c r="V51"/>
      <c r="W51"/>
      <c r="X51"/>
      <c r="Y51"/>
      <c r="Z51"/>
      <c r="AA51"/>
      <c r="AB51"/>
    </row>
    <row r="52" spans="1:28" s="1" customFormat="1" ht="12.75">
      <c r="A52" s="22"/>
      <c r="B52" s="23"/>
      <c r="C52" s="23"/>
      <c r="D52" s="24"/>
      <c r="E52" s="23"/>
      <c r="F52" s="23"/>
      <c r="G52" s="23"/>
      <c r="H52" s="23"/>
      <c r="Q52"/>
      <c r="R52"/>
      <c r="S52"/>
      <c r="T52"/>
      <c r="U52"/>
      <c r="V52"/>
      <c r="W52"/>
      <c r="X52"/>
      <c r="Y52"/>
      <c r="Z52"/>
      <c r="AA52"/>
      <c r="AB52"/>
    </row>
    <row r="54" spans="1:28" s="1" customFormat="1" ht="20.25" customHeight="1">
      <c r="A54" s="167" t="s">
        <v>241</v>
      </c>
      <c r="B54" s="168"/>
      <c r="C54" s="169" t="s">
        <v>20</v>
      </c>
      <c r="D54" s="170"/>
      <c r="E54" s="170"/>
      <c r="F54" s="170"/>
      <c r="G54" s="170"/>
      <c r="H54" s="170"/>
      <c r="Q54"/>
      <c r="R54"/>
      <c r="S54"/>
      <c r="T54"/>
      <c r="U54"/>
      <c r="V54"/>
      <c r="W54"/>
      <c r="X54"/>
      <c r="Y54"/>
      <c r="Z54"/>
      <c r="AA54"/>
      <c r="AB54"/>
    </row>
    <row r="55" spans="1:28" s="1" customFormat="1" ht="91.5" customHeight="1" thickBot="1">
      <c r="A55" s="13" t="s">
        <v>3</v>
      </c>
      <c r="B55" s="13" t="s">
        <v>4</v>
      </c>
      <c r="C55" s="13" t="s">
        <v>0</v>
      </c>
      <c r="D55" s="13" t="s">
        <v>1</v>
      </c>
      <c r="E55" s="13" t="s">
        <v>5</v>
      </c>
      <c r="F55" s="14" t="s">
        <v>46</v>
      </c>
      <c r="G55" s="14" t="s">
        <v>225</v>
      </c>
      <c r="H55" s="14" t="s">
        <v>49</v>
      </c>
      <c r="Q55"/>
      <c r="R55"/>
      <c r="S55"/>
      <c r="T55"/>
      <c r="U55"/>
      <c r="V55"/>
      <c r="W55"/>
      <c r="X55"/>
      <c r="Y55"/>
      <c r="Z55"/>
      <c r="AA55"/>
      <c r="AB55"/>
    </row>
    <row r="56" spans="1:28" s="1" customFormat="1" ht="13.5" thickBot="1">
      <c r="A56" s="3" t="s">
        <v>14</v>
      </c>
      <c r="B56" s="59">
        <v>1</v>
      </c>
      <c r="C56" s="2">
        <f>B5</f>
        <v>2842</v>
      </c>
      <c r="D56" s="26">
        <v>9.17</v>
      </c>
      <c r="E56" s="64">
        <f>C56*D56/1000</f>
        <v>26.061139999999998</v>
      </c>
      <c r="F56" s="64">
        <f>M5</f>
        <v>36.833130328867234</v>
      </c>
      <c r="G56" s="54">
        <f>E56*F56*1.42*1.15*1.302</f>
        <v>2040.9351620299844</v>
      </c>
      <c r="H56" s="11"/>
      <c r="J56"/>
      <c r="K56" s="20"/>
      <c r="L56" s="20"/>
      <c r="M56" s="21"/>
      <c r="N56"/>
      <c r="O56"/>
      <c r="Q56"/>
      <c r="R56"/>
      <c r="S56"/>
      <c r="T56"/>
      <c r="U56"/>
      <c r="V56"/>
      <c r="W56"/>
      <c r="X56"/>
      <c r="Y56"/>
      <c r="Z56"/>
      <c r="AA56"/>
      <c r="AB56"/>
    </row>
    <row r="57" spans="1:28" s="1" customFormat="1" ht="13.5" thickBot="1">
      <c r="A57" s="9" t="s">
        <v>11</v>
      </c>
      <c r="B57" s="10" t="s">
        <v>42</v>
      </c>
      <c r="C57" s="10" t="s">
        <v>0</v>
      </c>
      <c r="D57" s="10" t="s">
        <v>1</v>
      </c>
      <c r="E57" s="10" t="s">
        <v>43</v>
      </c>
      <c r="F57" s="10" t="s">
        <v>47</v>
      </c>
      <c r="G57" s="12" t="s">
        <v>145</v>
      </c>
      <c r="H57" s="12"/>
      <c r="Q57"/>
      <c r="R57"/>
      <c r="S57"/>
      <c r="T57"/>
      <c r="U57"/>
      <c r="V57"/>
      <c r="W57"/>
      <c r="X57"/>
      <c r="Y57"/>
      <c r="Z57"/>
      <c r="AA57"/>
      <c r="AB57"/>
    </row>
    <row r="58" spans="1:28" s="1" customFormat="1" ht="27" thickBot="1">
      <c r="A58" s="4" t="s">
        <v>18</v>
      </c>
      <c r="B58" s="26" t="s">
        <v>62</v>
      </c>
      <c r="C58" s="2">
        <f>B5</f>
        <v>2842</v>
      </c>
      <c r="D58" s="5">
        <v>1.7</v>
      </c>
      <c r="E58" s="64">
        <f>C58*D58/1000</f>
        <v>4.8313999999999995</v>
      </c>
      <c r="F58" s="78">
        <f>F35</f>
        <v>19.7</v>
      </c>
      <c r="G58" s="54">
        <f>E58*F58</f>
        <v>95.17857999999998</v>
      </c>
      <c r="H58" s="2"/>
      <c r="J58"/>
      <c r="K58" s="20"/>
      <c r="L58" s="20"/>
      <c r="M58" s="21"/>
      <c r="N58"/>
      <c r="O58"/>
      <c r="Q58"/>
      <c r="R58"/>
      <c r="S58"/>
      <c r="T58"/>
      <c r="U58"/>
      <c r="V58"/>
      <c r="W58"/>
      <c r="X58"/>
      <c r="Y58"/>
      <c r="Z58"/>
      <c r="AA58"/>
      <c r="AB58"/>
    </row>
    <row r="59" spans="1:28" s="1" customFormat="1" ht="13.5" thickBot="1">
      <c r="A59" s="4" t="s">
        <v>209</v>
      </c>
      <c r="B59" s="26"/>
      <c r="C59" s="2"/>
      <c r="D59" s="5"/>
      <c r="E59" s="64"/>
      <c r="F59" s="78"/>
      <c r="G59" s="54">
        <f>E56*спецодежда!G14</f>
        <v>45.91547559356155</v>
      </c>
      <c r="H59" s="2"/>
      <c r="J59"/>
      <c r="K59" s="20"/>
      <c r="L59" s="20"/>
      <c r="M59" s="21"/>
      <c r="N59"/>
      <c r="O59"/>
      <c r="Q59"/>
      <c r="R59"/>
      <c r="S59"/>
      <c r="T59"/>
      <c r="U59"/>
      <c r="V59"/>
      <c r="W59"/>
      <c r="X59"/>
      <c r="Y59"/>
      <c r="Z59"/>
      <c r="AA59"/>
      <c r="AB59"/>
    </row>
    <row r="60" spans="1:28" s="1" customFormat="1" ht="15">
      <c r="A60" s="9" t="s">
        <v>48</v>
      </c>
      <c r="B60" s="10"/>
      <c r="C60" s="10"/>
      <c r="D60" s="10"/>
      <c r="E60" s="10"/>
      <c r="F60" s="10"/>
      <c r="G60" s="66">
        <f>G56+G58+G59</f>
        <v>2182.0292176235457</v>
      </c>
      <c r="H60" s="41">
        <f>G60/B5/12</f>
        <v>0.06398162144099066</v>
      </c>
      <c r="J60"/>
      <c r="N60"/>
      <c r="O60"/>
      <c r="Q60"/>
      <c r="R60"/>
      <c r="S60"/>
      <c r="T60"/>
      <c r="U60"/>
      <c r="V60"/>
      <c r="W60"/>
      <c r="X60"/>
      <c r="Y60"/>
      <c r="Z60"/>
      <c r="AA60"/>
      <c r="AB60"/>
    </row>
    <row r="63" spans="1:28" s="1" customFormat="1" ht="28.5" customHeight="1">
      <c r="A63" s="167" t="s">
        <v>242</v>
      </c>
      <c r="B63" s="168"/>
      <c r="C63" s="169" t="s">
        <v>24</v>
      </c>
      <c r="D63" s="170"/>
      <c r="E63" s="170"/>
      <c r="F63" s="170"/>
      <c r="G63" s="170"/>
      <c r="H63" s="170"/>
      <c r="Q63"/>
      <c r="R63"/>
      <c r="S63"/>
      <c r="T63"/>
      <c r="U63"/>
      <c r="V63"/>
      <c r="W63"/>
      <c r="X63"/>
      <c r="Y63"/>
      <c r="Z63"/>
      <c r="AA63"/>
      <c r="AB63"/>
    </row>
    <row r="64" spans="1:28" s="1" customFormat="1" ht="91.5" customHeight="1" thickBot="1">
      <c r="A64" s="13" t="s">
        <v>3</v>
      </c>
      <c r="B64" s="13" t="s">
        <v>4</v>
      </c>
      <c r="C64" s="13" t="s">
        <v>0</v>
      </c>
      <c r="D64" s="13" t="s">
        <v>1</v>
      </c>
      <c r="E64" s="13" t="s">
        <v>5</v>
      </c>
      <c r="F64" s="14" t="s">
        <v>46</v>
      </c>
      <c r="G64" s="14" t="s">
        <v>225</v>
      </c>
      <c r="H64" s="14" t="s">
        <v>49</v>
      </c>
      <c r="Q64"/>
      <c r="R64"/>
      <c r="S64"/>
      <c r="T64"/>
      <c r="U64"/>
      <c r="V64"/>
      <c r="W64"/>
      <c r="X64"/>
      <c r="Y64"/>
      <c r="Z64"/>
      <c r="AA64"/>
      <c r="AB64"/>
    </row>
    <row r="65" spans="1:28" s="1" customFormat="1" ht="13.5" thickBot="1">
      <c r="A65" s="3" t="s">
        <v>14</v>
      </c>
      <c r="B65" s="59">
        <v>1</v>
      </c>
      <c r="C65" s="2">
        <f>B8</f>
        <v>741.3</v>
      </c>
      <c r="D65" s="26">
        <v>63</v>
      </c>
      <c r="E65" s="64">
        <f>C65*D65/10000</f>
        <v>4.67019</v>
      </c>
      <c r="F65" s="64">
        <f>M5</f>
        <v>36.833130328867234</v>
      </c>
      <c r="G65" s="54">
        <f>E65*F65*1.42*1.15*1.302</f>
        <v>365.73822113540757</v>
      </c>
      <c r="H65" s="11"/>
      <c r="J65"/>
      <c r="K65" s="20"/>
      <c r="L65" s="20"/>
      <c r="M65" s="21"/>
      <c r="N65"/>
      <c r="O65"/>
      <c r="Q65"/>
      <c r="R65"/>
      <c r="S65"/>
      <c r="T65"/>
      <c r="U65"/>
      <c r="V65"/>
      <c r="W65"/>
      <c r="X65"/>
      <c r="Y65"/>
      <c r="Z65"/>
      <c r="AA65"/>
      <c r="AB65"/>
    </row>
    <row r="66" spans="1:28" s="1" customFormat="1" ht="13.5" thickBot="1">
      <c r="A66" s="9" t="s">
        <v>11</v>
      </c>
      <c r="B66" s="10" t="s">
        <v>42</v>
      </c>
      <c r="C66" s="10" t="s">
        <v>0</v>
      </c>
      <c r="D66" s="10" t="s">
        <v>1</v>
      </c>
      <c r="E66" s="10" t="s">
        <v>43</v>
      </c>
      <c r="F66" s="10" t="s">
        <v>47</v>
      </c>
      <c r="G66" s="12" t="s">
        <v>145</v>
      </c>
      <c r="H66" s="12"/>
      <c r="Q66"/>
      <c r="R66"/>
      <c r="S66"/>
      <c r="T66"/>
      <c r="U66"/>
      <c r="V66"/>
      <c r="W66"/>
      <c r="X66"/>
      <c r="Y66"/>
      <c r="Z66"/>
      <c r="AA66"/>
      <c r="AB66"/>
    </row>
    <row r="67" spans="1:28" s="1" customFormat="1" ht="13.5" thickBot="1">
      <c r="A67" s="4" t="s">
        <v>21</v>
      </c>
      <c r="B67" s="26" t="s">
        <v>62</v>
      </c>
      <c r="C67" s="2">
        <f>C65</f>
        <v>741.3</v>
      </c>
      <c r="D67" s="5">
        <v>0.03</v>
      </c>
      <c r="E67" s="64">
        <f aca="true" t="shared" si="6" ref="E67:E72">C67*D67/10000</f>
        <v>0.0022238999999999996</v>
      </c>
      <c r="F67" s="78">
        <v>806</v>
      </c>
      <c r="G67" s="54">
        <f aca="true" t="shared" si="7" ref="G67:G72">E67*F67</f>
        <v>1.7924633999999997</v>
      </c>
      <c r="H67" s="2"/>
      <c r="J67"/>
      <c r="K67" s="20"/>
      <c r="L67" s="20"/>
      <c r="M67" s="21"/>
      <c r="N67"/>
      <c r="O67"/>
      <c r="Q67"/>
      <c r="R67"/>
      <c r="S67"/>
      <c r="T67"/>
      <c r="U67"/>
      <c r="V67"/>
      <c r="W67"/>
      <c r="X67"/>
      <c r="Y67"/>
      <c r="Z67"/>
      <c r="AA67"/>
      <c r="AB67"/>
    </row>
    <row r="68" spans="1:28" s="1" customFormat="1" ht="13.5" thickBot="1">
      <c r="A68" s="4" t="s">
        <v>22</v>
      </c>
      <c r="B68" s="26" t="s">
        <v>62</v>
      </c>
      <c r="C68" s="2">
        <f>C65</f>
        <v>741.3</v>
      </c>
      <c r="D68" s="5">
        <v>0.02</v>
      </c>
      <c r="E68" s="64">
        <f t="shared" si="6"/>
        <v>0.0014826</v>
      </c>
      <c r="F68" s="78">
        <f>F46</f>
        <v>175</v>
      </c>
      <c r="G68" s="54">
        <f t="shared" si="7"/>
        <v>0.259455</v>
      </c>
      <c r="H68" s="2"/>
      <c r="J68"/>
      <c r="K68" s="20"/>
      <c r="L68" s="20"/>
      <c r="M68" s="21"/>
      <c r="N68"/>
      <c r="O68"/>
      <c r="Q68"/>
      <c r="R68"/>
      <c r="S68"/>
      <c r="T68"/>
      <c r="U68"/>
      <c r="V68"/>
      <c r="W68"/>
      <c r="X68"/>
      <c r="Y68"/>
      <c r="Z68"/>
      <c r="AA68"/>
      <c r="AB68"/>
    </row>
    <row r="69" spans="1:28" s="1" customFormat="1" ht="13.5" thickBot="1">
      <c r="A69" s="4" t="s">
        <v>16</v>
      </c>
      <c r="B69" s="26" t="s">
        <v>62</v>
      </c>
      <c r="C69" s="2">
        <f>C65</f>
        <v>741.3</v>
      </c>
      <c r="D69" s="5">
        <v>0.03</v>
      </c>
      <c r="E69" s="64">
        <f t="shared" si="6"/>
        <v>0.0022238999999999996</v>
      </c>
      <c r="F69" s="78">
        <f>F46</f>
        <v>175</v>
      </c>
      <c r="G69" s="54">
        <f t="shared" si="7"/>
        <v>0.38918249999999993</v>
      </c>
      <c r="H69" s="2"/>
      <c r="J69"/>
      <c r="K69" s="20"/>
      <c r="L69" s="20"/>
      <c r="M69" s="21"/>
      <c r="N69"/>
      <c r="O69"/>
      <c r="Q69"/>
      <c r="R69"/>
      <c r="S69"/>
      <c r="T69"/>
      <c r="U69"/>
      <c r="V69"/>
      <c r="W69"/>
      <c r="X69"/>
      <c r="Y69"/>
      <c r="Z69"/>
      <c r="AA69"/>
      <c r="AB69"/>
    </row>
    <row r="70" spans="1:28" s="1" customFormat="1" ht="13.5" thickBot="1">
      <c r="A70" s="4" t="s">
        <v>17</v>
      </c>
      <c r="B70" s="26" t="s">
        <v>62</v>
      </c>
      <c r="C70" s="2">
        <f>C65</f>
        <v>741.3</v>
      </c>
      <c r="D70" s="5">
        <v>2.23</v>
      </c>
      <c r="E70" s="64">
        <f t="shared" si="6"/>
        <v>0.16530989999999998</v>
      </c>
      <c r="F70" s="78">
        <f>F47</f>
        <v>65</v>
      </c>
      <c r="G70" s="54">
        <f t="shared" si="7"/>
        <v>10.7451435</v>
      </c>
      <c r="H70" s="2"/>
      <c r="J70"/>
      <c r="K70" s="20"/>
      <c r="L70" s="20"/>
      <c r="M70" s="21"/>
      <c r="N70"/>
      <c r="O70"/>
      <c r="Q70"/>
      <c r="R70"/>
      <c r="S70"/>
      <c r="T70"/>
      <c r="U70"/>
      <c r="V70"/>
      <c r="W70"/>
      <c r="X70"/>
      <c r="Y70"/>
      <c r="Z70"/>
      <c r="AA70"/>
      <c r="AB70"/>
    </row>
    <row r="71" spans="1:28" s="1" customFormat="1" ht="13.5" thickBot="1">
      <c r="A71" s="4" t="s">
        <v>23</v>
      </c>
      <c r="B71" s="26" t="s">
        <v>62</v>
      </c>
      <c r="C71" s="2">
        <f>C65</f>
        <v>741.3</v>
      </c>
      <c r="D71" s="5">
        <v>0.03</v>
      </c>
      <c r="E71" s="64">
        <f t="shared" si="6"/>
        <v>0.0022238999999999996</v>
      </c>
      <c r="F71" s="78">
        <v>350</v>
      </c>
      <c r="G71" s="54">
        <f t="shared" si="7"/>
        <v>0.7783649999999999</v>
      </c>
      <c r="H71" s="2"/>
      <c r="J71"/>
      <c r="K71" s="20"/>
      <c r="L71" s="20"/>
      <c r="M71" s="21"/>
      <c r="N71"/>
      <c r="O71"/>
      <c r="Q71"/>
      <c r="R71"/>
      <c r="S71"/>
      <c r="T71"/>
      <c r="U71"/>
      <c r="V71"/>
      <c r="W71"/>
      <c r="X71"/>
      <c r="Y71"/>
      <c r="Z71"/>
      <c r="AA71"/>
      <c r="AB71"/>
    </row>
    <row r="72" spans="1:28" s="1" customFormat="1" ht="13.5" thickBot="1">
      <c r="A72" s="4" t="s">
        <v>19</v>
      </c>
      <c r="B72" s="26" t="s">
        <v>62</v>
      </c>
      <c r="C72" s="2">
        <f>C65</f>
        <v>741.3</v>
      </c>
      <c r="D72" s="5">
        <v>0.02</v>
      </c>
      <c r="E72" s="64">
        <f t="shared" si="6"/>
        <v>0.0014826</v>
      </c>
      <c r="F72" s="78">
        <f>F49</f>
        <v>2500</v>
      </c>
      <c r="G72" s="54">
        <f t="shared" si="7"/>
        <v>3.7064999999999997</v>
      </c>
      <c r="H72" s="2"/>
      <c r="J72"/>
      <c r="K72" s="20"/>
      <c r="L72" s="20"/>
      <c r="M72" s="21"/>
      <c r="N72"/>
      <c r="O72"/>
      <c r="Q72"/>
      <c r="R72"/>
      <c r="S72"/>
      <c r="T72"/>
      <c r="U72"/>
      <c r="V72"/>
      <c r="W72"/>
      <c r="X72"/>
      <c r="Y72"/>
      <c r="Z72"/>
      <c r="AA72"/>
      <c r="AB72"/>
    </row>
    <row r="73" spans="1:28" s="1" customFormat="1" ht="13.5" thickBot="1">
      <c r="A73" s="4" t="s">
        <v>209</v>
      </c>
      <c r="B73" s="26"/>
      <c r="C73" s="2"/>
      <c r="D73" s="5"/>
      <c r="E73" s="64"/>
      <c r="F73" s="78"/>
      <c r="G73" s="54">
        <f>E65*спецодежда!G14</f>
        <v>8.22811262140855</v>
      </c>
      <c r="H73" s="2"/>
      <c r="J73"/>
      <c r="K73" s="20"/>
      <c r="L73" s="20"/>
      <c r="M73" s="21"/>
      <c r="N73"/>
      <c r="O73"/>
      <c r="Q73"/>
      <c r="R73"/>
      <c r="S73"/>
      <c r="T73"/>
      <c r="U73"/>
      <c r="V73"/>
      <c r="W73"/>
      <c r="X73"/>
      <c r="Y73"/>
      <c r="Z73"/>
      <c r="AA73"/>
      <c r="AB73"/>
    </row>
    <row r="74" spans="1:28" s="1" customFormat="1" ht="15">
      <c r="A74" s="9" t="s">
        <v>48</v>
      </c>
      <c r="B74" s="10"/>
      <c r="C74" s="10"/>
      <c r="D74" s="10"/>
      <c r="E74" s="10"/>
      <c r="F74" s="10"/>
      <c r="G74" s="66">
        <f>G65+G67+G68+G69+G70+G71+G72+G73</f>
        <v>391.6374431568161</v>
      </c>
      <c r="H74" s="41">
        <f>G74/B5/12</f>
        <v>0.011483621955102512</v>
      </c>
      <c r="J74"/>
      <c r="N74"/>
      <c r="O74"/>
      <c r="Q74"/>
      <c r="R74"/>
      <c r="S74"/>
      <c r="T74"/>
      <c r="U74"/>
      <c r="V74"/>
      <c r="W74"/>
      <c r="X74"/>
      <c r="Y74"/>
      <c r="Z74"/>
      <c r="AA74"/>
      <c r="AB74"/>
    </row>
    <row r="76" spans="1:28" s="1" customFormat="1" ht="28.5" customHeight="1">
      <c r="A76" s="167" t="s">
        <v>243</v>
      </c>
      <c r="B76" s="168"/>
      <c r="C76" s="169" t="s">
        <v>24</v>
      </c>
      <c r="D76" s="170"/>
      <c r="E76" s="170"/>
      <c r="F76" s="170"/>
      <c r="G76" s="170"/>
      <c r="H76" s="170"/>
      <c r="Q76"/>
      <c r="R76"/>
      <c r="S76"/>
      <c r="T76"/>
      <c r="U76"/>
      <c r="V76"/>
      <c r="W76"/>
      <c r="X76"/>
      <c r="Y76"/>
      <c r="Z76"/>
      <c r="AA76"/>
      <c r="AB76"/>
    </row>
    <row r="77" spans="1:28" s="1" customFormat="1" ht="91.5" customHeight="1" thickBot="1">
      <c r="A77" s="13" t="s">
        <v>3</v>
      </c>
      <c r="B77" s="13" t="s">
        <v>4</v>
      </c>
      <c r="C77" s="13" t="s">
        <v>0</v>
      </c>
      <c r="D77" s="13" t="s">
        <v>1</v>
      </c>
      <c r="E77" s="13" t="s">
        <v>5</v>
      </c>
      <c r="F77" s="14" t="s">
        <v>46</v>
      </c>
      <c r="G77" s="14" t="s">
        <v>225</v>
      </c>
      <c r="H77" s="14" t="s">
        <v>49</v>
      </c>
      <c r="Q77"/>
      <c r="R77"/>
      <c r="S77"/>
      <c r="T77"/>
      <c r="U77"/>
      <c r="V77"/>
      <c r="W77"/>
      <c r="X77"/>
      <c r="Y77"/>
      <c r="Z77"/>
      <c r="AA77"/>
      <c r="AB77"/>
    </row>
    <row r="78" spans="1:28" s="1" customFormat="1" ht="13.5" thickBot="1">
      <c r="A78" s="3" t="s">
        <v>14</v>
      </c>
      <c r="B78" s="59">
        <v>1</v>
      </c>
      <c r="C78" s="2">
        <f>B8</f>
        <v>741.3</v>
      </c>
      <c r="D78" s="26">
        <v>325</v>
      </c>
      <c r="E78" s="64">
        <f>C78*D78/1000</f>
        <v>240.92249999999996</v>
      </c>
      <c r="F78" s="64">
        <f>M5</f>
        <v>36.833130328867234</v>
      </c>
      <c r="G78" s="54">
        <f>E78*F78*1.42*1.15*1.302</f>
        <v>18867.447915715464</v>
      </c>
      <c r="H78" s="11"/>
      <c r="J78"/>
      <c r="K78" s="20"/>
      <c r="L78" s="20"/>
      <c r="M78" s="21"/>
      <c r="N78"/>
      <c r="O78"/>
      <c r="Q78"/>
      <c r="R78"/>
      <c r="S78"/>
      <c r="T78"/>
      <c r="U78"/>
      <c r="V78"/>
      <c r="W78"/>
      <c r="X78"/>
      <c r="Y78"/>
      <c r="Z78"/>
      <c r="AA78"/>
      <c r="AB78"/>
    </row>
    <row r="79" spans="1:28" s="1" customFormat="1" ht="13.5" thickBot="1">
      <c r="A79" s="9" t="s">
        <v>11</v>
      </c>
      <c r="B79" s="10" t="s">
        <v>42</v>
      </c>
      <c r="C79" s="10" t="s">
        <v>0</v>
      </c>
      <c r="D79" s="10" t="s">
        <v>1</v>
      </c>
      <c r="E79" s="10" t="s">
        <v>43</v>
      </c>
      <c r="F79" s="10" t="s">
        <v>47</v>
      </c>
      <c r="G79" s="12" t="s">
        <v>145</v>
      </c>
      <c r="H79" s="12"/>
      <c r="Q79"/>
      <c r="R79"/>
      <c r="S79"/>
      <c r="T79"/>
      <c r="U79"/>
      <c r="V79"/>
      <c r="W79"/>
      <c r="X79"/>
      <c r="Y79"/>
      <c r="Z79"/>
      <c r="AA79"/>
      <c r="AB79"/>
    </row>
    <row r="80" spans="1:28" s="1" customFormat="1" ht="13.5" thickBot="1">
      <c r="A80" s="4" t="s">
        <v>21</v>
      </c>
      <c r="B80" s="26" t="s">
        <v>62</v>
      </c>
      <c r="C80" s="2">
        <f>C78</f>
        <v>741.3</v>
      </c>
      <c r="D80" s="5">
        <v>0.16</v>
      </c>
      <c r="E80" s="64">
        <f aca="true" t="shared" si="8" ref="E80:E85">C80*D80/1000</f>
        <v>0.11860799999999999</v>
      </c>
      <c r="F80" s="78">
        <f aca="true" t="shared" si="9" ref="F80:F85">F67</f>
        <v>806</v>
      </c>
      <c r="G80" s="54">
        <f aca="true" t="shared" si="10" ref="G80:G85">E80*F80</f>
        <v>95.59804799999999</v>
      </c>
      <c r="H80" s="2"/>
      <c r="J80"/>
      <c r="K80" s="20"/>
      <c r="L80" s="20"/>
      <c r="M80" s="21"/>
      <c r="N80"/>
      <c r="O80"/>
      <c r="Q80"/>
      <c r="R80"/>
      <c r="S80"/>
      <c r="T80"/>
      <c r="U80"/>
      <c r="V80"/>
      <c r="W80"/>
      <c r="X80"/>
      <c r="Y80"/>
      <c r="Z80"/>
      <c r="AA80"/>
      <c r="AB80"/>
    </row>
    <row r="81" spans="1:28" s="1" customFormat="1" ht="13.5" thickBot="1">
      <c r="A81" s="4" t="s">
        <v>22</v>
      </c>
      <c r="B81" s="26" t="s">
        <v>62</v>
      </c>
      <c r="C81" s="2">
        <f>C78</f>
        <v>741.3</v>
      </c>
      <c r="D81" s="5">
        <v>0.08</v>
      </c>
      <c r="E81" s="64">
        <f t="shared" si="8"/>
        <v>0.059303999999999996</v>
      </c>
      <c r="F81" s="78">
        <f t="shared" si="9"/>
        <v>175</v>
      </c>
      <c r="G81" s="54">
        <f t="shared" si="10"/>
        <v>10.3782</v>
      </c>
      <c r="H81" s="2"/>
      <c r="J81"/>
      <c r="K81" s="20"/>
      <c r="L81" s="20"/>
      <c r="M81" s="21"/>
      <c r="N81"/>
      <c r="O81"/>
      <c r="Q81"/>
      <c r="R81"/>
      <c r="S81"/>
      <c r="T81"/>
      <c r="U81"/>
      <c r="V81"/>
      <c r="W81"/>
      <c r="X81"/>
      <c r="Y81"/>
      <c r="Z81"/>
      <c r="AA81"/>
      <c r="AB81"/>
    </row>
    <row r="82" spans="1:28" s="1" customFormat="1" ht="13.5" thickBot="1">
      <c r="A82" s="4" t="s">
        <v>16</v>
      </c>
      <c r="B82" s="26" t="s">
        <v>62</v>
      </c>
      <c r="C82" s="2">
        <f>C78</f>
        <v>741.3</v>
      </c>
      <c r="D82" s="5">
        <v>0.16</v>
      </c>
      <c r="E82" s="64">
        <f t="shared" si="8"/>
        <v>0.11860799999999999</v>
      </c>
      <c r="F82" s="78">
        <f t="shared" si="9"/>
        <v>175</v>
      </c>
      <c r="G82" s="54">
        <f t="shared" si="10"/>
        <v>20.7564</v>
      </c>
      <c r="H82" s="2"/>
      <c r="J82"/>
      <c r="K82" s="20"/>
      <c r="L82" s="20"/>
      <c r="M82" s="21"/>
      <c r="N82"/>
      <c r="O82"/>
      <c r="Q82"/>
      <c r="R82"/>
      <c r="S82"/>
      <c r="T82"/>
      <c r="U82"/>
      <c r="V82"/>
      <c r="W82"/>
      <c r="X82"/>
      <c r="Y82"/>
      <c r="Z82"/>
      <c r="AA82"/>
      <c r="AB82"/>
    </row>
    <row r="83" spans="1:28" s="1" customFormat="1" ht="13.5" thickBot="1">
      <c r="A83" s="4" t="s">
        <v>17</v>
      </c>
      <c r="B83" s="26" t="s">
        <v>62</v>
      </c>
      <c r="C83" s="2">
        <f>C78</f>
        <v>741.3</v>
      </c>
      <c r="D83" s="5">
        <v>11.48</v>
      </c>
      <c r="E83" s="64">
        <f t="shared" si="8"/>
        <v>8.510124</v>
      </c>
      <c r="F83" s="78">
        <f t="shared" si="9"/>
        <v>65</v>
      </c>
      <c r="G83" s="54">
        <f t="shared" si="10"/>
        <v>553.15806</v>
      </c>
      <c r="H83" s="2"/>
      <c r="J83"/>
      <c r="K83" s="20"/>
      <c r="L83" s="20"/>
      <c r="M83" s="21"/>
      <c r="N83"/>
      <c r="O83"/>
      <c r="Q83"/>
      <c r="R83"/>
      <c r="S83"/>
      <c r="T83"/>
      <c r="U83"/>
      <c r="V83"/>
      <c r="W83"/>
      <c r="X83"/>
      <c r="Y83"/>
      <c r="Z83"/>
      <c r="AA83"/>
      <c r="AB83"/>
    </row>
    <row r="84" spans="1:28" s="1" customFormat="1" ht="13.5" thickBot="1">
      <c r="A84" s="4" t="s">
        <v>23</v>
      </c>
      <c r="B84" s="26" t="s">
        <v>62</v>
      </c>
      <c r="C84" s="2">
        <f>C78</f>
        <v>741.3</v>
      </c>
      <c r="D84" s="5">
        <v>0.16</v>
      </c>
      <c r="E84" s="64">
        <f t="shared" si="8"/>
        <v>0.11860799999999999</v>
      </c>
      <c r="F84" s="78">
        <f t="shared" si="9"/>
        <v>350</v>
      </c>
      <c r="G84" s="54">
        <f t="shared" si="10"/>
        <v>41.5128</v>
      </c>
      <c r="H84" s="2"/>
      <c r="J84"/>
      <c r="K84" s="20"/>
      <c r="L84" s="20"/>
      <c r="M84" s="21"/>
      <c r="N84"/>
      <c r="O84"/>
      <c r="Q84"/>
      <c r="R84"/>
      <c r="S84"/>
      <c r="T84"/>
      <c r="U84"/>
      <c r="V84"/>
      <c r="W84"/>
      <c r="X84"/>
      <c r="Y84"/>
      <c r="Z84"/>
      <c r="AA84"/>
      <c r="AB84"/>
    </row>
    <row r="85" spans="1:28" s="1" customFormat="1" ht="13.5" thickBot="1">
      <c r="A85" s="4" t="s">
        <v>19</v>
      </c>
      <c r="B85" s="26" t="s">
        <v>62</v>
      </c>
      <c r="C85" s="2">
        <f>C78</f>
        <v>741.3</v>
      </c>
      <c r="D85" s="5">
        <v>0.08</v>
      </c>
      <c r="E85" s="64">
        <f t="shared" si="8"/>
        <v>0.059303999999999996</v>
      </c>
      <c r="F85" s="78">
        <f t="shared" si="9"/>
        <v>2500</v>
      </c>
      <c r="G85" s="54">
        <f t="shared" si="10"/>
        <v>148.26</v>
      </c>
      <c r="H85" s="2"/>
      <c r="J85"/>
      <c r="K85" s="20"/>
      <c r="L85" s="20"/>
      <c r="M85" s="21"/>
      <c r="N85"/>
      <c r="O85"/>
      <c r="Q85"/>
      <c r="R85"/>
      <c r="S85"/>
      <c r="T85"/>
      <c r="U85"/>
      <c r="V85"/>
      <c r="W85"/>
      <c r="X85"/>
      <c r="Y85"/>
      <c r="Z85"/>
      <c r="AA85"/>
      <c r="AB85"/>
    </row>
    <row r="86" spans="1:28" s="1" customFormat="1" ht="13.5" thickBot="1">
      <c r="A86" s="4" t="s">
        <v>209</v>
      </c>
      <c r="B86" s="26"/>
      <c r="C86" s="2"/>
      <c r="D86" s="5"/>
      <c r="E86" s="64"/>
      <c r="F86" s="78"/>
      <c r="G86" s="54">
        <f>E78*спецодежда!G14</f>
        <v>424.4661272948855</v>
      </c>
      <c r="H86" s="2"/>
      <c r="J86"/>
      <c r="K86" s="20"/>
      <c r="L86" s="20"/>
      <c r="M86" s="21"/>
      <c r="N86"/>
      <c r="O86"/>
      <c r="Q86"/>
      <c r="R86"/>
      <c r="S86"/>
      <c r="T86"/>
      <c r="U86"/>
      <c r="V86"/>
      <c r="W86"/>
      <c r="X86"/>
      <c r="Y86"/>
      <c r="Z86"/>
      <c r="AA86"/>
      <c r="AB86"/>
    </row>
    <row r="87" spans="1:28" s="1" customFormat="1" ht="15">
      <c r="A87" s="9" t="s">
        <v>48</v>
      </c>
      <c r="B87" s="10"/>
      <c r="C87" s="10"/>
      <c r="D87" s="10"/>
      <c r="E87" s="10"/>
      <c r="F87" s="10"/>
      <c r="G87" s="66">
        <f>G78+G80+G81+G82+G83+G84+G85+G86</f>
        <v>20161.57755101035</v>
      </c>
      <c r="H87" s="41">
        <f>G87/B5/12</f>
        <v>0.5911792619930315</v>
      </c>
      <c r="J87"/>
      <c r="N87"/>
      <c r="O87"/>
      <c r="Q87"/>
      <c r="R87"/>
      <c r="S87"/>
      <c r="T87"/>
      <c r="U87"/>
      <c r="V87"/>
      <c r="W87"/>
      <c r="X87"/>
      <c r="Y87"/>
      <c r="Z87"/>
      <c r="AA87"/>
      <c r="AB87"/>
    </row>
    <row r="89" spans="1:28" s="1" customFormat="1" ht="12.75">
      <c r="A89" s="173" t="s">
        <v>244</v>
      </c>
      <c r="B89" s="174"/>
      <c r="C89" s="174"/>
      <c r="D89" s="174"/>
      <c r="E89" s="174"/>
      <c r="F89" s="174"/>
      <c r="G89" s="174"/>
      <c r="H89" s="174"/>
      <c r="Q89"/>
      <c r="R89"/>
      <c r="S89"/>
      <c r="T89"/>
      <c r="U89"/>
      <c r="V89"/>
      <c r="W89"/>
      <c r="X89"/>
      <c r="Y89"/>
      <c r="Z89"/>
      <c r="AA89"/>
      <c r="AB89"/>
    </row>
    <row r="90" spans="1:28" s="1" customFormat="1" ht="30" customHeight="1">
      <c r="A90" s="171" t="s">
        <v>224</v>
      </c>
      <c r="B90" s="179"/>
      <c r="C90" s="179"/>
      <c r="D90" s="179"/>
      <c r="E90" s="179"/>
      <c r="F90" s="179"/>
      <c r="G90" s="39" t="s">
        <v>116</v>
      </c>
      <c r="H90" s="41">
        <f>(H74+H87)*0.14</f>
        <v>0.08437280375273877</v>
      </c>
      <c r="Q90"/>
      <c r="R90"/>
      <c r="S90"/>
      <c r="T90"/>
      <c r="U90"/>
      <c r="V90"/>
      <c r="W90"/>
      <c r="X90"/>
      <c r="Y90"/>
      <c r="Z90"/>
      <c r="AA90"/>
      <c r="AB90"/>
    </row>
    <row r="92" spans="1:28" s="1" customFormat="1" ht="12.75" customHeight="1">
      <c r="A92" s="173" t="s">
        <v>245</v>
      </c>
      <c r="B92" s="174"/>
      <c r="C92" s="174"/>
      <c r="D92" s="174"/>
      <c r="E92" s="174"/>
      <c r="F92" s="174"/>
      <c r="G92" s="174"/>
      <c r="H92" s="174"/>
      <c r="Q92"/>
      <c r="R92"/>
      <c r="S92"/>
      <c r="T92"/>
      <c r="U92"/>
      <c r="V92"/>
      <c r="W92"/>
      <c r="X92"/>
      <c r="Y92"/>
      <c r="Z92"/>
      <c r="AA92"/>
      <c r="AB92"/>
    </row>
    <row r="94" spans="1:28" s="1" customFormat="1" ht="58.5" customHeight="1">
      <c r="A94" s="167" t="s">
        <v>246</v>
      </c>
      <c r="B94" s="168"/>
      <c r="C94" s="169" t="s">
        <v>233</v>
      </c>
      <c r="D94" s="170"/>
      <c r="E94" s="170"/>
      <c r="F94" s="170"/>
      <c r="G94" s="170"/>
      <c r="H94" s="170"/>
      <c r="Q94"/>
      <c r="R94"/>
      <c r="S94"/>
      <c r="T94"/>
      <c r="U94"/>
      <c r="V94"/>
      <c r="W94"/>
      <c r="X94"/>
      <c r="Y94"/>
      <c r="Z94"/>
      <c r="AA94"/>
      <c r="AB94"/>
    </row>
    <row r="95" spans="1:28" s="1" customFormat="1" ht="91.5" customHeight="1" thickBot="1">
      <c r="A95" s="13" t="s">
        <v>3</v>
      </c>
      <c r="B95" s="13" t="s">
        <v>4</v>
      </c>
      <c r="C95" s="13" t="s">
        <v>0</v>
      </c>
      <c r="D95" s="13" t="s">
        <v>1</v>
      </c>
      <c r="E95" s="13" t="s">
        <v>5</v>
      </c>
      <c r="F95" s="14" t="s">
        <v>46</v>
      </c>
      <c r="G95" s="14" t="s">
        <v>225</v>
      </c>
      <c r="H95" s="14" t="s">
        <v>49</v>
      </c>
      <c r="Q95"/>
      <c r="R95"/>
      <c r="S95"/>
      <c r="T95"/>
      <c r="U95"/>
      <c r="V95"/>
      <c r="W95"/>
      <c r="X95"/>
      <c r="Y95"/>
      <c r="Z95"/>
      <c r="AA95"/>
      <c r="AB95"/>
    </row>
    <row r="96" spans="1:28" s="1" customFormat="1" ht="13.5" thickBot="1">
      <c r="A96" s="3" t="s">
        <v>26</v>
      </c>
      <c r="B96" s="59">
        <v>4</v>
      </c>
      <c r="C96" s="2">
        <f>B5</f>
        <v>2842</v>
      </c>
      <c r="D96" s="26">
        <v>0.03</v>
      </c>
      <c r="E96" s="64">
        <f aca="true" t="shared" si="11" ref="E96:E103">C96*D96/1000</f>
        <v>0.08525999999999999</v>
      </c>
      <c r="F96" s="64">
        <f>M8</f>
        <v>70.35127892813641</v>
      </c>
      <c r="G96" s="54">
        <f>E96*F96*1.42*1.15*1.302</f>
        <v>12.75306268095072</v>
      </c>
      <c r="H96" s="11"/>
      <c r="J96"/>
      <c r="K96" s="20"/>
      <c r="L96" s="20"/>
      <c r="M96" s="21"/>
      <c r="N96"/>
      <c r="O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" customFormat="1" ht="13.5" thickBot="1">
      <c r="A97" s="3" t="s">
        <v>27</v>
      </c>
      <c r="B97" s="59">
        <v>3</v>
      </c>
      <c r="C97" s="2">
        <f>C96</f>
        <v>2842</v>
      </c>
      <c r="D97" s="26">
        <v>0.09</v>
      </c>
      <c r="E97" s="64">
        <f t="shared" si="11"/>
        <v>0.25578</v>
      </c>
      <c r="F97" s="64">
        <f>M7</f>
        <v>62.24799025578562</v>
      </c>
      <c r="G97" s="54">
        <f>E97*F97*1.42*1.15*1.302</f>
        <v>33.85237057194773</v>
      </c>
      <c r="H97" s="11"/>
      <c r="J97"/>
      <c r="K97" s="20"/>
      <c r="L97" s="20"/>
      <c r="M97" s="21"/>
      <c r="N97"/>
      <c r="O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" customFormat="1" ht="13.5" thickBot="1">
      <c r="A98" s="3" t="s">
        <v>26</v>
      </c>
      <c r="B98" s="59">
        <v>2</v>
      </c>
      <c r="C98" s="2">
        <f>C96</f>
        <v>2842</v>
      </c>
      <c r="D98" s="26">
        <v>0.06</v>
      </c>
      <c r="E98" s="64">
        <f t="shared" si="11"/>
        <v>0.17051999999999998</v>
      </c>
      <c r="F98" s="64">
        <f>M6</f>
        <v>47.88306942752741</v>
      </c>
      <c r="G98" s="54">
        <f>E98*F98*1.42*1.15*1.302</f>
        <v>17.36019003689627</v>
      </c>
      <c r="H98" s="11"/>
      <c r="J98"/>
      <c r="K98" s="20"/>
      <c r="L98" s="20"/>
      <c r="M98" s="21"/>
      <c r="N98"/>
      <c r="O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" customFormat="1" ht="13.5" thickBot="1">
      <c r="A99" s="3" t="s">
        <v>26</v>
      </c>
      <c r="B99" s="59">
        <v>1</v>
      </c>
      <c r="C99" s="2">
        <f>C96</f>
        <v>2842</v>
      </c>
      <c r="D99" s="26">
        <v>0.03</v>
      </c>
      <c r="E99" s="64">
        <f t="shared" si="11"/>
        <v>0.08525999999999999</v>
      </c>
      <c r="F99" s="64">
        <f>M5</f>
        <v>36.833130328867234</v>
      </c>
      <c r="G99" s="54">
        <f>E99*F99*1.42*1.15*1.302</f>
        <v>6.676996168037026</v>
      </c>
      <c r="H99" s="11"/>
      <c r="J99"/>
      <c r="K99" s="20"/>
      <c r="L99" s="20"/>
      <c r="M99" s="21"/>
      <c r="N99"/>
      <c r="O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" customFormat="1" ht="13.5" thickBot="1">
      <c r="A100" s="3" t="s">
        <v>28</v>
      </c>
      <c r="B100" s="59">
        <v>1</v>
      </c>
      <c r="C100" s="2">
        <f>C96</f>
        <v>2842</v>
      </c>
      <c r="D100" s="26">
        <v>0.03</v>
      </c>
      <c r="E100" s="64">
        <f t="shared" si="11"/>
        <v>0.08525999999999999</v>
      </c>
      <c r="F100" s="64">
        <f>M5</f>
        <v>36.833130328867234</v>
      </c>
      <c r="G100" s="54">
        <f>E100*F100*1.42*1.15*1.302</f>
        <v>6.676996168037026</v>
      </c>
      <c r="H100" s="11"/>
      <c r="J100"/>
      <c r="K100" s="20"/>
      <c r="L100" s="20"/>
      <c r="M100" s="21"/>
      <c r="N100"/>
      <c r="O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1" customFormat="1" ht="13.5" thickBot="1">
      <c r="A101" s="9" t="s">
        <v>11</v>
      </c>
      <c r="B101" s="10" t="s">
        <v>42</v>
      </c>
      <c r="C101" s="10" t="s">
        <v>0</v>
      </c>
      <c r="D101" s="10" t="s">
        <v>1</v>
      </c>
      <c r="E101" s="10" t="s">
        <v>43</v>
      </c>
      <c r="F101" s="10" t="s">
        <v>47</v>
      </c>
      <c r="G101" s="12" t="s">
        <v>145</v>
      </c>
      <c r="H101" s="12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1" customFormat="1" ht="15.75" thickBot="1">
      <c r="A102" s="4" t="s">
        <v>29</v>
      </c>
      <c r="B102" s="26" t="s">
        <v>44</v>
      </c>
      <c r="C102" s="2">
        <f>C96</f>
        <v>2842</v>
      </c>
      <c r="D102" s="5">
        <v>3.73</v>
      </c>
      <c r="E102" s="64">
        <f t="shared" si="11"/>
        <v>10.60066</v>
      </c>
      <c r="F102" s="78">
        <v>936</v>
      </c>
      <c r="G102" s="54">
        <f>E102*F102</f>
        <v>9922.21776</v>
      </c>
      <c r="H102" s="2"/>
      <c r="J102"/>
      <c r="K102" s="20"/>
      <c r="L102" s="20"/>
      <c r="M102" s="21"/>
      <c r="N102"/>
      <c r="O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1" customFormat="1" ht="13.5" thickBot="1">
      <c r="A103" s="4" t="s">
        <v>144</v>
      </c>
      <c r="B103" s="26" t="s">
        <v>30</v>
      </c>
      <c r="C103" s="2">
        <f>C96</f>
        <v>2842</v>
      </c>
      <c r="D103" s="5">
        <v>0.02</v>
      </c>
      <c r="E103" s="64">
        <f t="shared" si="11"/>
        <v>0.05684</v>
      </c>
      <c r="F103" s="78">
        <v>12000</v>
      </c>
      <c r="G103" s="54">
        <f>E103*F103</f>
        <v>682.08</v>
      </c>
      <c r="H103" s="2"/>
      <c r="J103"/>
      <c r="K103" s="20"/>
      <c r="L103" s="20"/>
      <c r="M103" s="21"/>
      <c r="N103"/>
      <c r="O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1" customFormat="1" ht="13.5" thickBot="1">
      <c r="A104" s="4" t="s">
        <v>209</v>
      </c>
      <c r="B104" s="26"/>
      <c r="C104" s="2"/>
      <c r="D104" s="5"/>
      <c r="E104" s="64"/>
      <c r="F104" s="78"/>
      <c r="G104" s="54">
        <f>(E96+E97+E98+E99+E100)*спецодежда!G14</f>
        <v>1.201713646941633</v>
      </c>
      <c r="H104" s="2"/>
      <c r="J104"/>
      <c r="K104" s="20"/>
      <c r="L104" s="20"/>
      <c r="M104" s="21"/>
      <c r="N104"/>
      <c r="O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1" customFormat="1" ht="15">
      <c r="A105" s="9" t="s">
        <v>48</v>
      </c>
      <c r="B105" s="10"/>
      <c r="C105" s="10"/>
      <c r="D105" s="10"/>
      <c r="E105" s="10"/>
      <c r="F105" s="10"/>
      <c r="G105" s="66">
        <f>G96+G97+G98+G99+G100+G102+G103+G104</f>
        <v>10682.81908927281</v>
      </c>
      <c r="H105" s="41">
        <f>G105/B5/12</f>
        <v>0.31324240820058674</v>
      </c>
      <c r="J105"/>
      <c r="N105"/>
      <c r="O105"/>
      <c r="Q105"/>
      <c r="R105"/>
      <c r="S105"/>
      <c r="T105"/>
      <c r="U105"/>
      <c r="V105"/>
      <c r="W105"/>
      <c r="X105"/>
      <c r="Y105"/>
      <c r="Z105"/>
      <c r="AA105"/>
      <c r="AB105"/>
    </row>
    <row r="107" spans="1:28" s="1" customFormat="1" ht="45" customHeight="1">
      <c r="A107" s="167" t="s">
        <v>247</v>
      </c>
      <c r="B107" s="168"/>
      <c r="C107" s="169" t="s">
        <v>259</v>
      </c>
      <c r="D107" s="170"/>
      <c r="E107" s="170"/>
      <c r="F107" s="170"/>
      <c r="G107" s="170"/>
      <c r="H107" s="170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1" customFormat="1" ht="91.5" customHeight="1" thickBot="1">
      <c r="A108" s="13" t="s">
        <v>3</v>
      </c>
      <c r="B108" s="13" t="s">
        <v>4</v>
      </c>
      <c r="C108" s="13" t="s">
        <v>0</v>
      </c>
      <c r="D108" s="13" t="s">
        <v>1</v>
      </c>
      <c r="E108" s="13" t="s">
        <v>5</v>
      </c>
      <c r="F108" s="14" t="s">
        <v>46</v>
      </c>
      <c r="G108" s="14" t="s">
        <v>225</v>
      </c>
      <c r="H108" s="14" t="s">
        <v>49</v>
      </c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1" customFormat="1" ht="13.5" thickBot="1">
      <c r="A109" s="3" t="s">
        <v>32</v>
      </c>
      <c r="B109" s="59">
        <v>4</v>
      </c>
      <c r="C109" s="2">
        <f>B5</f>
        <v>2842</v>
      </c>
      <c r="D109" s="26">
        <v>2.52</v>
      </c>
      <c r="E109" s="64">
        <f>C109*D109/1000</f>
        <v>7.16184</v>
      </c>
      <c r="F109" s="64">
        <f>M8</f>
        <v>70.35127892813641</v>
      </c>
      <c r="G109" s="54">
        <f>E109*F109*1.42*1.15*1.302</f>
        <v>1071.2572651998605</v>
      </c>
      <c r="H109" s="11"/>
      <c r="J109"/>
      <c r="K109" s="20"/>
      <c r="L109" s="20"/>
      <c r="M109" s="21"/>
      <c r="N109"/>
      <c r="O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1" customFormat="1" ht="13.5" thickBot="1">
      <c r="A110" s="9" t="s">
        <v>11</v>
      </c>
      <c r="B110" s="10" t="s">
        <v>42</v>
      </c>
      <c r="C110" s="10" t="s">
        <v>0</v>
      </c>
      <c r="D110" s="10" t="s">
        <v>1</v>
      </c>
      <c r="E110" s="10" t="s">
        <v>43</v>
      </c>
      <c r="F110" s="10" t="s">
        <v>47</v>
      </c>
      <c r="G110" s="12" t="s">
        <v>145</v>
      </c>
      <c r="H110" s="12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1" customFormat="1" ht="15.75" thickBot="1">
      <c r="A111" s="4" t="s">
        <v>33</v>
      </c>
      <c r="B111" s="26" t="s">
        <v>45</v>
      </c>
      <c r="C111" s="2">
        <f>C109</f>
        <v>2842</v>
      </c>
      <c r="D111" s="5">
        <v>4.7</v>
      </c>
      <c r="E111" s="64">
        <f>C111*D111/1000</f>
        <v>13.3574</v>
      </c>
      <c r="F111" s="78">
        <v>140</v>
      </c>
      <c r="G111" s="54">
        <f>E111*F111</f>
        <v>1870.036</v>
      </c>
      <c r="H111" s="2"/>
      <c r="J111"/>
      <c r="K111" s="20"/>
      <c r="L111" s="20"/>
      <c r="M111" s="21"/>
      <c r="N111"/>
      <c r="O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1" customFormat="1" ht="13.5" thickBot="1">
      <c r="A112" s="4" t="s">
        <v>34</v>
      </c>
      <c r="B112" s="26" t="s">
        <v>36</v>
      </c>
      <c r="C112" s="2">
        <f>C109</f>
        <v>2842</v>
      </c>
      <c r="D112" s="5">
        <v>0.98</v>
      </c>
      <c r="E112" s="64">
        <f>C112*D112/1000</f>
        <v>2.78516</v>
      </c>
      <c r="F112" s="78">
        <v>24.25</v>
      </c>
      <c r="G112" s="54">
        <f>E112*F112</f>
        <v>67.54012999999999</v>
      </c>
      <c r="H112" s="2"/>
      <c r="J112"/>
      <c r="K112" s="20"/>
      <c r="L112" s="20"/>
      <c r="M112" s="21"/>
      <c r="N112"/>
      <c r="O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1" customFormat="1" ht="13.5" thickBot="1">
      <c r="A113" s="4" t="s">
        <v>35</v>
      </c>
      <c r="B113" s="26" t="s">
        <v>37</v>
      </c>
      <c r="C113" s="2">
        <f>C109</f>
        <v>2842</v>
      </c>
      <c r="D113" s="5">
        <v>19.66</v>
      </c>
      <c r="E113" s="64">
        <f>C113*D113/1000</f>
        <v>55.87372</v>
      </c>
      <c r="F113" s="78">
        <v>15</v>
      </c>
      <c r="G113" s="54">
        <f>E113*F113</f>
        <v>838.1057999999999</v>
      </c>
      <c r="H113" s="2"/>
      <c r="J113"/>
      <c r="K113" s="20"/>
      <c r="L113" s="20"/>
      <c r="M113" s="21"/>
      <c r="N113"/>
      <c r="O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1" customFormat="1" ht="13.5" thickBot="1">
      <c r="A114" s="4" t="s">
        <v>209</v>
      </c>
      <c r="B114" s="26"/>
      <c r="C114" s="2"/>
      <c r="D114" s="5"/>
      <c r="E114" s="64"/>
      <c r="F114" s="78"/>
      <c r="G114" s="54">
        <f>E109*спецодежда!G14</f>
        <v>12.617993292887144</v>
      </c>
      <c r="H114" s="2"/>
      <c r="J114"/>
      <c r="K114" s="20"/>
      <c r="L114" s="20"/>
      <c r="M114" s="21"/>
      <c r="N114"/>
      <c r="O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1" customFormat="1" ht="15">
      <c r="A115" s="9" t="s">
        <v>48</v>
      </c>
      <c r="B115" s="10"/>
      <c r="C115" s="10"/>
      <c r="D115" s="10"/>
      <c r="E115" s="10"/>
      <c r="F115" s="10"/>
      <c r="G115" s="66">
        <f>G109+G111+G112+G113+G114</f>
        <v>3859.5571884927476</v>
      </c>
      <c r="H115" s="41">
        <f>G115/B5/12</f>
        <v>0.1131702201645774</v>
      </c>
      <c r="J115"/>
      <c r="N115"/>
      <c r="O115"/>
      <c r="Q115"/>
      <c r="R115"/>
      <c r="S115"/>
      <c r="T115"/>
      <c r="U115"/>
      <c r="V115"/>
      <c r="W115"/>
      <c r="X115"/>
      <c r="Y115"/>
      <c r="Z115"/>
      <c r="AA115"/>
      <c r="AB115"/>
    </row>
    <row r="117" spans="1:28" s="1" customFormat="1" ht="125.25" customHeight="1">
      <c r="A117" s="167" t="s">
        <v>248</v>
      </c>
      <c r="B117" s="168"/>
      <c r="C117" s="169" t="s">
        <v>260</v>
      </c>
      <c r="D117" s="170"/>
      <c r="E117" s="170"/>
      <c r="F117" s="170"/>
      <c r="G117" s="170"/>
      <c r="H117" s="170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1" customFormat="1" ht="91.5" customHeight="1" thickBot="1">
      <c r="A118" s="13" t="s">
        <v>3</v>
      </c>
      <c r="B118" s="13" t="s">
        <v>4</v>
      </c>
      <c r="C118" s="13" t="s">
        <v>0</v>
      </c>
      <c r="D118" s="13" t="s">
        <v>1</v>
      </c>
      <c r="E118" s="13" t="s">
        <v>5</v>
      </c>
      <c r="F118" s="14" t="s">
        <v>46</v>
      </c>
      <c r="G118" s="14" t="s">
        <v>225</v>
      </c>
      <c r="H118" s="14" t="s">
        <v>49</v>
      </c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1" customFormat="1" ht="13.5" thickBot="1">
      <c r="A119" s="3" t="s">
        <v>63</v>
      </c>
      <c r="B119" s="59">
        <v>3</v>
      </c>
      <c r="C119" s="2">
        <f>B5</f>
        <v>2842</v>
      </c>
      <c r="D119" s="26">
        <v>2.04</v>
      </c>
      <c r="E119" s="64">
        <f aca="true" t="shared" si="12" ref="E119:E129">C119*D119/1000</f>
        <v>5.797680000000001</v>
      </c>
      <c r="F119" s="64">
        <f>M7</f>
        <v>62.24799025578562</v>
      </c>
      <c r="G119" s="54">
        <f>E119*F119*1.24*1.15*1.302</f>
        <v>670.0544334804301</v>
      </c>
      <c r="H119" s="11"/>
      <c r="J119"/>
      <c r="K119" s="20"/>
      <c r="L119" s="20"/>
      <c r="M119" s="21"/>
      <c r="N119"/>
      <c r="O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1" customFormat="1" ht="13.5" thickBot="1">
      <c r="A120" s="3" t="s">
        <v>64</v>
      </c>
      <c r="B120" s="59">
        <v>3</v>
      </c>
      <c r="C120" s="2">
        <f>C119</f>
        <v>2842</v>
      </c>
      <c r="D120" s="26">
        <v>0.58</v>
      </c>
      <c r="E120" s="64">
        <f t="shared" si="12"/>
        <v>1.6483599999999998</v>
      </c>
      <c r="F120" s="64">
        <f>M7</f>
        <v>62.24799025578562</v>
      </c>
      <c r="G120" s="54">
        <f>E120*F120*1.42*1.15*1.302</f>
        <v>218.1597214636631</v>
      </c>
      <c r="H120" s="11"/>
      <c r="J120"/>
      <c r="K120" s="20"/>
      <c r="L120" s="20"/>
      <c r="M120" s="21"/>
      <c r="N120"/>
      <c r="O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1" customFormat="1" ht="13.5" thickBot="1">
      <c r="A121" s="3" t="s">
        <v>65</v>
      </c>
      <c r="B121" s="59">
        <v>3</v>
      </c>
      <c r="C121" s="2">
        <f>C119</f>
        <v>2842</v>
      </c>
      <c r="D121" s="26">
        <v>0.16</v>
      </c>
      <c r="E121" s="64">
        <f t="shared" si="12"/>
        <v>0.45472</v>
      </c>
      <c r="F121" s="64">
        <f>M7</f>
        <v>62.24799025578562</v>
      </c>
      <c r="G121" s="54">
        <f>E121*F121*1.42*1.15*1.302</f>
        <v>60.181992127907066</v>
      </c>
      <c r="H121" s="11"/>
      <c r="J121"/>
      <c r="K121" s="20"/>
      <c r="L121" s="20"/>
      <c r="M121" s="21"/>
      <c r="N121"/>
      <c r="O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1" customFormat="1" ht="13.5" thickBot="1">
      <c r="A122" s="9" t="s">
        <v>11</v>
      </c>
      <c r="B122" s="10" t="s">
        <v>42</v>
      </c>
      <c r="C122" s="10" t="s">
        <v>0</v>
      </c>
      <c r="D122" s="10" t="s">
        <v>1</v>
      </c>
      <c r="E122" s="10" t="s">
        <v>43</v>
      </c>
      <c r="F122" s="10" t="s">
        <v>47</v>
      </c>
      <c r="G122" s="12" t="s">
        <v>145</v>
      </c>
      <c r="H122" s="1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1" customFormat="1" ht="13.5" thickBot="1">
      <c r="A123" s="4" t="s">
        <v>66</v>
      </c>
      <c r="B123" s="26" t="s">
        <v>69</v>
      </c>
      <c r="C123" s="2">
        <f>C119</f>
        <v>2842</v>
      </c>
      <c r="D123" s="5">
        <v>0.09</v>
      </c>
      <c r="E123" s="64">
        <f t="shared" si="12"/>
        <v>0.25578</v>
      </c>
      <c r="F123" s="78">
        <v>53.35</v>
      </c>
      <c r="G123" s="54">
        <f>E123*F123</f>
        <v>13.645863</v>
      </c>
      <c r="H123" s="2"/>
      <c r="J123"/>
      <c r="K123" s="20"/>
      <c r="L123" s="20"/>
      <c r="M123" s="21"/>
      <c r="N123"/>
      <c r="O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s="1" customFormat="1" ht="13.5" thickBot="1">
      <c r="A124" s="4" t="s">
        <v>67</v>
      </c>
      <c r="B124" s="26" t="s">
        <v>62</v>
      </c>
      <c r="C124" s="2">
        <f>C119</f>
        <v>2842</v>
      </c>
      <c r="D124" s="5">
        <v>0.2</v>
      </c>
      <c r="E124" s="64">
        <f t="shared" si="12"/>
        <v>0.5684</v>
      </c>
      <c r="F124" s="78">
        <v>24.25</v>
      </c>
      <c r="G124" s="54">
        <f aca="true" t="shared" si="13" ref="G124:G129">E124*F124</f>
        <v>13.7837</v>
      </c>
      <c r="H124" s="2"/>
      <c r="J124"/>
      <c r="K124" s="20"/>
      <c r="L124" s="20"/>
      <c r="M124" s="21"/>
      <c r="N124"/>
      <c r="O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s="1" customFormat="1" ht="13.5" thickBot="1">
      <c r="A125" s="4" t="s">
        <v>68</v>
      </c>
      <c r="B125" s="26" t="s">
        <v>62</v>
      </c>
      <c r="C125" s="2">
        <f>C119</f>
        <v>2842</v>
      </c>
      <c r="D125" s="5">
        <v>0.16</v>
      </c>
      <c r="E125" s="64">
        <f t="shared" si="12"/>
        <v>0.45472</v>
      </c>
      <c r="F125" s="78">
        <v>50.4</v>
      </c>
      <c r="G125" s="54">
        <f t="shared" si="13"/>
        <v>22.917888</v>
      </c>
      <c r="H125" s="2"/>
      <c r="J125"/>
      <c r="K125" s="20"/>
      <c r="L125" s="20"/>
      <c r="M125" s="21"/>
      <c r="N125"/>
      <c r="O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s="1" customFormat="1" ht="13.5" thickBot="1">
      <c r="A126" s="4" t="s">
        <v>226</v>
      </c>
      <c r="B126" s="26" t="s">
        <v>36</v>
      </c>
      <c r="C126" s="2">
        <f>C119</f>
        <v>2842</v>
      </c>
      <c r="D126" s="5">
        <v>0.091</v>
      </c>
      <c r="E126" s="64">
        <f t="shared" si="12"/>
        <v>0.258622</v>
      </c>
      <c r="F126" s="78">
        <v>130.95</v>
      </c>
      <c r="G126" s="54">
        <f t="shared" si="13"/>
        <v>33.8665509</v>
      </c>
      <c r="H126" s="2"/>
      <c r="J126"/>
      <c r="K126" s="20"/>
      <c r="L126" s="20"/>
      <c r="M126" s="21"/>
      <c r="N126"/>
      <c r="O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s="1" customFormat="1" ht="13.5" thickBot="1">
      <c r="A127" s="4" t="s">
        <v>70</v>
      </c>
      <c r="B127" s="26" t="s">
        <v>73</v>
      </c>
      <c r="C127" s="2">
        <f>C119</f>
        <v>2842</v>
      </c>
      <c r="D127" s="5">
        <v>0.026</v>
      </c>
      <c r="E127" s="64">
        <f t="shared" si="12"/>
        <v>0.073892</v>
      </c>
      <c r="F127" s="78">
        <v>111.55</v>
      </c>
      <c r="G127" s="54">
        <f t="shared" si="13"/>
        <v>8.2426526</v>
      </c>
      <c r="H127" s="2"/>
      <c r="J127"/>
      <c r="K127" s="20"/>
      <c r="L127" s="20"/>
      <c r="M127" s="21"/>
      <c r="N127"/>
      <c r="O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1" customFormat="1" ht="13.5" thickBot="1">
      <c r="A128" s="4" t="s">
        <v>71</v>
      </c>
      <c r="B128" s="26" t="s">
        <v>36</v>
      </c>
      <c r="C128" s="2">
        <f>C119</f>
        <v>2842</v>
      </c>
      <c r="D128" s="5">
        <v>0.009</v>
      </c>
      <c r="E128" s="64">
        <f t="shared" si="12"/>
        <v>0.025578</v>
      </c>
      <c r="F128" s="78">
        <v>159.08</v>
      </c>
      <c r="G128" s="54">
        <f t="shared" si="13"/>
        <v>4.06894824</v>
      </c>
      <c r="H128" s="2"/>
      <c r="J128"/>
      <c r="K128" s="20"/>
      <c r="L128" s="20"/>
      <c r="M128" s="21"/>
      <c r="N128"/>
      <c r="O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s="1" customFormat="1" ht="13.5" thickBot="1">
      <c r="A129" s="4" t="s">
        <v>72</v>
      </c>
      <c r="B129" s="26" t="s">
        <v>36</v>
      </c>
      <c r="C129" s="2">
        <f>C119</f>
        <v>2842</v>
      </c>
      <c r="D129" s="5">
        <v>0.02</v>
      </c>
      <c r="E129" s="64">
        <f t="shared" si="12"/>
        <v>0.05684</v>
      </c>
      <c r="F129" s="78">
        <v>140</v>
      </c>
      <c r="G129" s="54">
        <f t="shared" si="13"/>
        <v>7.9576</v>
      </c>
      <c r="H129" s="2"/>
      <c r="J129"/>
      <c r="K129" s="20"/>
      <c r="L129" s="20"/>
      <c r="M129" s="21"/>
      <c r="N129"/>
      <c r="O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s="1" customFormat="1" ht="13.5" thickBot="1">
      <c r="A130" s="4" t="s">
        <v>209</v>
      </c>
      <c r="B130" s="26"/>
      <c r="C130" s="2"/>
      <c r="D130" s="5"/>
      <c r="E130" s="64"/>
      <c r="F130" s="78"/>
      <c r="G130" s="54">
        <f>(E119+E120)*спецодежда!G14+'3 эт. без 1 благоустройства'!E121*спецодежда!G83</f>
        <v>14.55337742201526</v>
      </c>
      <c r="H130" s="2"/>
      <c r="J130"/>
      <c r="K130" s="20"/>
      <c r="L130" s="20"/>
      <c r="M130" s="21"/>
      <c r="N130"/>
      <c r="O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15" ht="15">
      <c r="A131" s="9" t="s">
        <v>48</v>
      </c>
      <c r="B131" s="10"/>
      <c r="C131" s="10"/>
      <c r="D131" s="10"/>
      <c r="E131" s="10"/>
      <c r="F131" s="10"/>
      <c r="G131" s="66">
        <f>G119+G120+G121+G123+G124+G125+G126+G127+G128+G129+G130</f>
        <v>1067.4327272340154</v>
      </c>
      <c r="H131" s="41">
        <f>G131/B5/12</f>
        <v>0.03129934105190052</v>
      </c>
      <c r="J131"/>
      <c r="N131"/>
      <c r="O131"/>
    </row>
    <row r="132" spans="1:16" s="31" customFormat="1" ht="12.75">
      <c r="A132" s="27"/>
      <c r="B132" s="28"/>
      <c r="C132" s="28"/>
      <c r="D132" s="28"/>
      <c r="E132" s="28"/>
      <c r="F132" s="28"/>
      <c r="G132" s="29"/>
      <c r="H132" s="29"/>
      <c r="I132" s="30"/>
      <c r="J132" s="30"/>
      <c r="K132" s="1"/>
      <c r="L132" s="1"/>
      <c r="M132" s="1"/>
      <c r="N132" s="30"/>
      <c r="O132" s="30"/>
      <c r="P132" s="30"/>
    </row>
    <row r="133" spans="1:8" ht="42" customHeight="1">
      <c r="A133" s="167" t="s">
        <v>261</v>
      </c>
      <c r="B133" s="168"/>
      <c r="C133" s="169" t="s">
        <v>262</v>
      </c>
      <c r="D133" s="170"/>
      <c r="E133" s="170"/>
      <c r="F133" s="170"/>
      <c r="G133" s="170"/>
      <c r="H133" s="170"/>
    </row>
    <row r="134" spans="1:8" ht="91.5" customHeight="1" thickBot="1">
      <c r="A134" s="13" t="s">
        <v>3</v>
      </c>
      <c r="B134" s="13" t="s">
        <v>4</v>
      </c>
      <c r="C134" s="13" t="s">
        <v>0</v>
      </c>
      <c r="D134" s="13" t="s">
        <v>1</v>
      </c>
      <c r="E134" s="13" t="s">
        <v>5</v>
      </c>
      <c r="F134" s="14" t="s">
        <v>46</v>
      </c>
      <c r="G134" s="14" t="s">
        <v>225</v>
      </c>
      <c r="H134" s="14" t="s">
        <v>49</v>
      </c>
    </row>
    <row r="135" spans="1:15" ht="13.5" thickBot="1">
      <c r="A135" s="3" t="s">
        <v>105</v>
      </c>
      <c r="B135" s="59">
        <v>3</v>
      </c>
      <c r="C135" s="2">
        <f>B5</f>
        <v>2842</v>
      </c>
      <c r="D135" s="26">
        <v>0.18</v>
      </c>
      <c r="E135" s="64">
        <f>C135*D135/1000</f>
        <v>0.51156</v>
      </c>
      <c r="F135" s="64">
        <f>M7</f>
        <v>62.24799025578562</v>
      </c>
      <c r="G135" s="54">
        <f>E135*F135*1.42*1.15*1.302</f>
        <v>67.70474114389546</v>
      </c>
      <c r="H135" s="11"/>
      <c r="J135"/>
      <c r="K135" s="20"/>
      <c r="L135" s="20"/>
      <c r="M135" s="21"/>
      <c r="N135"/>
      <c r="O135"/>
    </row>
    <row r="136" spans="1:15" ht="13.5" thickBot="1">
      <c r="A136" s="3" t="s">
        <v>106</v>
      </c>
      <c r="B136" s="59">
        <v>3</v>
      </c>
      <c r="C136" s="2">
        <f>B5</f>
        <v>2842</v>
      </c>
      <c r="D136" s="26">
        <v>0.08</v>
      </c>
      <c r="E136" s="64">
        <f>C136*D136/1000</f>
        <v>0.22736</v>
      </c>
      <c r="F136" s="64">
        <f>M7</f>
        <v>62.24799025578562</v>
      </c>
      <c r="G136" s="54">
        <f>E136*F136*1.42*1.15*1.302</f>
        <v>30.090996063953533</v>
      </c>
      <c r="H136" s="11"/>
      <c r="J136"/>
      <c r="K136" s="20"/>
      <c r="L136" s="20"/>
      <c r="M136" s="21"/>
      <c r="N136"/>
      <c r="O136"/>
    </row>
    <row r="137" spans="1:8" ht="13.5" thickBot="1">
      <c r="A137" s="9" t="s">
        <v>11</v>
      </c>
      <c r="B137" s="10" t="s">
        <v>42</v>
      </c>
      <c r="C137" s="10" t="s">
        <v>0</v>
      </c>
      <c r="D137" s="10" t="s">
        <v>1</v>
      </c>
      <c r="E137" s="10" t="s">
        <v>43</v>
      </c>
      <c r="F137" s="10" t="s">
        <v>47</v>
      </c>
      <c r="G137" s="12" t="s">
        <v>145</v>
      </c>
      <c r="H137" s="12"/>
    </row>
    <row r="138" spans="1:15" ht="15" thickBot="1">
      <c r="A138" s="4" t="s">
        <v>107</v>
      </c>
      <c r="B138" s="26" t="s">
        <v>102</v>
      </c>
      <c r="C138" s="2">
        <f>C135</f>
        <v>2842</v>
      </c>
      <c r="D138" s="5">
        <v>0.002</v>
      </c>
      <c r="E138" s="64">
        <f>C138*D138/1000</f>
        <v>0.005684</v>
      </c>
      <c r="F138" s="78">
        <v>3100</v>
      </c>
      <c r="G138" s="54">
        <f>E138*F138</f>
        <v>17.6204</v>
      </c>
      <c r="H138" s="2"/>
      <c r="J138"/>
      <c r="K138" s="20"/>
      <c r="L138" s="20"/>
      <c r="M138" s="21"/>
      <c r="N138"/>
      <c r="O138"/>
    </row>
    <row r="139" spans="1:15" ht="13.5" thickBot="1">
      <c r="A139" s="4" t="s">
        <v>108</v>
      </c>
      <c r="B139" s="26" t="s">
        <v>36</v>
      </c>
      <c r="C139" s="2">
        <f>C135</f>
        <v>2842</v>
      </c>
      <c r="D139" s="5">
        <v>0.043</v>
      </c>
      <c r="E139" s="64">
        <f>C139*D139/1000</f>
        <v>0.122206</v>
      </c>
      <c r="F139" s="78">
        <v>130</v>
      </c>
      <c r="G139" s="54">
        <f>E139*F139</f>
        <v>15.88678</v>
      </c>
      <c r="H139" s="2"/>
      <c r="J139"/>
      <c r="K139" s="20"/>
      <c r="L139" s="20"/>
      <c r="M139" s="21"/>
      <c r="N139"/>
      <c r="O139"/>
    </row>
    <row r="140" spans="1:15" ht="13.5" thickBot="1">
      <c r="A140" s="4" t="s">
        <v>209</v>
      </c>
      <c r="B140" s="26"/>
      <c r="C140" s="2"/>
      <c r="D140" s="5"/>
      <c r="E140" s="64"/>
      <c r="F140" s="78"/>
      <c r="G140" s="54">
        <f>(E135+E136)*спецодежда!G83</f>
        <v>2.3313389280497905</v>
      </c>
      <c r="H140" s="2"/>
      <c r="J140"/>
      <c r="K140" s="20"/>
      <c r="L140" s="20"/>
      <c r="M140" s="21"/>
      <c r="N140"/>
      <c r="O140"/>
    </row>
    <row r="141" spans="1:15" ht="15">
      <c r="A141" s="9" t="s">
        <v>48</v>
      </c>
      <c r="B141" s="10"/>
      <c r="C141" s="10"/>
      <c r="D141" s="10"/>
      <c r="E141" s="10"/>
      <c r="F141" s="10"/>
      <c r="G141" s="66">
        <f>G135+G136+G138+G139+G140</f>
        <v>133.6342561358988</v>
      </c>
      <c r="H141" s="41">
        <f>G141/B5</f>
        <v>0.04702120201826136</v>
      </c>
      <c r="J141"/>
      <c r="N141"/>
      <c r="O141"/>
    </row>
    <row r="142" spans="1:16" s="31" customFormat="1" ht="12.75">
      <c r="A142" s="27"/>
      <c r="B142" s="28"/>
      <c r="C142" s="28"/>
      <c r="D142" s="28"/>
      <c r="E142" s="28"/>
      <c r="F142" s="28"/>
      <c r="G142" s="29"/>
      <c r="H142" s="29"/>
      <c r="I142" s="30"/>
      <c r="J142" s="30"/>
      <c r="K142" s="1"/>
      <c r="L142" s="1"/>
      <c r="M142" s="1"/>
      <c r="N142" s="30"/>
      <c r="O142" s="30"/>
      <c r="P142" s="30"/>
    </row>
    <row r="143" spans="1:8" ht="44.25" customHeight="1">
      <c r="A143" s="167" t="s">
        <v>249</v>
      </c>
      <c r="B143" s="168"/>
      <c r="C143" s="175" t="s">
        <v>230</v>
      </c>
      <c r="D143" s="176"/>
      <c r="E143" s="176"/>
      <c r="F143" s="176"/>
      <c r="G143" s="176"/>
      <c r="H143" s="176"/>
    </row>
    <row r="144" spans="1:8" ht="91.5" customHeight="1" thickBot="1">
      <c r="A144" s="13" t="s">
        <v>3</v>
      </c>
      <c r="B144" s="13" t="s">
        <v>4</v>
      </c>
      <c r="C144" s="13" t="s">
        <v>0</v>
      </c>
      <c r="D144" s="13" t="s">
        <v>1</v>
      </c>
      <c r="E144" s="13" t="s">
        <v>5</v>
      </c>
      <c r="F144" s="14" t="s">
        <v>46</v>
      </c>
      <c r="G144" s="14" t="s">
        <v>225</v>
      </c>
      <c r="H144" s="14" t="s">
        <v>49</v>
      </c>
    </row>
    <row r="145" spans="1:15" ht="13.5" thickBot="1">
      <c r="A145" s="3" t="s">
        <v>25</v>
      </c>
      <c r="B145" s="59">
        <v>4</v>
      </c>
      <c r="C145" s="2">
        <f>B5</f>
        <v>2842</v>
      </c>
      <c r="D145" s="26">
        <f>53.5*2.8/4*3</f>
        <v>112.35</v>
      </c>
      <c r="E145" s="64">
        <f aca="true" t="shared" si="14" ref="E145:E174">C145*D145/1000</f>
        <v>319.2987</v>
      </c>
      <c r="F145" s="64">
        <f>M8</f>
        <v>70.35127892813641</v>
      </c>
      <c r="G145" s="54">
        <f>E145*F145*1.42*1.15*1.302</f>
        <v>47760.21974016046</v>
      </c>
      <c r="H145" s="11"/>
      <c r="J145"/>
      <c r="K145" s="20"/>
      <c r="L145" s="20"/>
      <c r="M145" s="21"/>
      <c r="N145"/>
      <c r="O145"/>
    </row>
    <row r="146" spans="1:15" ht="13.5" thickBot="1">
      <c r="A146" s="3" t="s">
        <v>74</v>
      </c>
      <c r="B146" s="59">
        <v>2</v>
      </c>
      <c r="C146" s="2">
        <f>C145</f>
        <v>2842</v>
      </c>
      <c r="D146" s="26">
        <f>5.6*2.8/4*3</f>
        <v>11.759999999999998</v>
      </c>
      <c r="E146" s="64">
        <f t="shared" si="14"/>
        <v>33.42191999999999</v>
      </c>
      <c r="F146" s="64">
        <f>M6</f>
        <v>47.88306942752741</v>
      </c>
      <c r="G146" s="54">
        <f>E146*F146*1.42*1.15*1.302</f>
        <v>3402.597247231669</v>
      </c>
      <c r="H146" s="11"/>
      <c r="J146"/>
      <c r="K146" s="20"/>
      <c r="L146" s="20"/>
      <c r="M146" s="21"/>
      <c r="N146"/>
      <c r="O146"/>
    </row>
    <row r="147" spans="1:28" s="1" customFormat="1" ht="13.5" thickBot="1">
      <c r="A147" s="9" t="s">
        <v>11</v>
      </c>
      <c r="B147" s="10" t="s">
        <v>42</v>
      </c>
      <c r="C147" s="10" t="s">
        <v>0</v>
      </c>
      <c r="D147" s="10" t="s">
        <v>1</v>
      </c>
      <c r="E147" s="10" t="s">
        <v>43</v>
      </c>
      <c r="F147" s="10" t="s">
        <v>47</v>
      </c>
      <c r="G147" s="12" t="s">
        <v>145</v>
      </c>
      <c r="H147" s="12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1" customFormat="1" ht="13.5" thickBot="1">
      <c r="A148" s="4" t="s">
        <v>75</v>
      </c>
      <c r="B148" s="26" t="s">
        <v>37</v>
      </c>
      <c r="C148" s="2">
        <f aca="true" t="shared" si="15" ref="C148:C174">$C$145</f>
        <v>2842</v>
      </c>
      <c r="D148" s="5">
        <f>3.33/4*3</f>
        <v>2.4975</v>
      </c>
      <c r="E148" s="64">
        <f t="shared" si="14"/>
        <v>7.097895</v>
      </c>
      <c r="F148" s="78">
        <v>46</v>
      </c>
      <c r="G148" s="54">
        <f aca="true" t="shared" si="16" ref="G148:G174">E148*F148</f>
        <v>326.50317</v>
      </c>
      <c r="H148" s="2"/>
      <c r="J148"/>
      <c r="K148" s="20"/>
      <c r="L148" s="20"/>
      <c r="M148" s="21"/>
      <c r="N148"/>
      <c r="O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1" customFormat="1" ht="13.5" thickBot="1">
      <c r="A149" s="4" t="s">
        <v>76</v>
      </c>
      <c r="B149" s="26" t="s">
        <v>62</v>
      </c>
      <c r="C149" s="2">
        <f t="shared" si="15"/>
        <v>2842</v>
      </c>
      <c r="D149" s="5">
        <f>1.89/4*3</f>
        <v>1.4175</v>
      </c>
      <c r="E149" s="64">
        <f t="shared" si="14"/>
        <v>4.028535</v>
      </c>
      <c r="F149" s="78">
        <v>101</v>
      </c>
      <c r="G149" s="54">
        <f t="shared" si="16"/>
        <v>406.882035</v>
      </c>
      <c r="H149" s="2"/>
      <c r="J149"/>
      <c r="K149" s="20"/>
      <c r="L149" s="20"/>
      <c r="M149" s="21"/>
      <c r="N149"/>
      <c r="O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1" customFormat="1" ht="13.5" thickBot="1">
      <c r="A150" s="4" t="s">
        <v>77</v>
      </c>
      <c r="B150" s="26" t="s">
        <v>36</v>
      </c>
      <c r="C150" s="2">
        <f t="shared" si="15"/>
        <v>2842</v>
      </c>
      <c r="D150" s="5">
        <f>0.1/4*3</f>
        <v>0.07500000000000001</v>
      </c>
      <c r="E150" s="64">
        <f t="shared" si="14"/>
        <v>0.21315000000000003</v>
      </c>
      <c r="F150" s="78">
        <v>33.95</v>
      </c>
      <c r="G150" s="54">
        <f t="shared" si="16"/>
        <v>7.236442500000002</v>
      </c>
      <c r="H150" s="2"/>
      <c r="J150"/>
      <c r="K150" s="20"/>
      <c r="L150" s="20"/>
      <c r="M150" s="21"/>
      <c r="N150"/>
      <c r="O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1" customFormat="1" ht="13.5" thickBot="1">
      <c r="A151" s="4" t="s">
        <v>78</v>
      </c>
      <c r="B151" s="26" t="s">
        <v>36</v>
      </c>
      <c r="C151" s="2">
        <f t="shared" si="15"/>
        <v>2842</v>
      </c>
      <c r="D151" s="5">
        <f>0.04/4*3</f>
        <v>0.03</v>
      </c>
      <c r="E151" s="64">
        <f t="shared" si="14"/>
        <v>0.08525999999999999</v>
      </c>
      <c r="F151" s="78">
        <v>15.48</v>
      </c>
      <c r="G151" s="54">
        <f t="shared" si="16"/>
        <v>1.3198248</v>
      </c>
      <c r="H151" s="2"/>
      <c r="J151"/>
      <c r="K151" s="20"/>
      <c r="L151" s="20"/>
      <c r="M151" s="21"/>
      <c r="N151"/>
      <c r="O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1" customFormat="1" ht="13.5" thickBot="1">
      <c r="A152" s="4" t="s">
        <v>79</v>
      </c>
      <c r="B152" s="26" t="s">
        <v>36</v>
      </c>
      <c r="C152" s="2">
        <f t="shared" si="15"/>
        <v>2842</v>
      </c>
      <c r="D152" s="5">
        <f>0.05/4*3</f>
        <v>0.037500000000000006</v>
      </c>
      <c r="E152" s="64">
        <f t="shared" si="14"/>
        <v>0.10657500000000002</v>
      </c>
      <c r="F152" s="78">
        <v>128.5</v>
      </c>
      <c r="G152" s="54">
        <f t="shared" si="16"/>
        <v>13.694887500000002</v>
      </c>
      <c r="H152" s="2"/>
      <c r="J152"/>
      <c r="K152" s="20"/>
      <c r="L152" s="20"/>
      <c r="M152" s="21"/>
      <c r="N152"/>
      <c r="O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1" customFormat="1" ht="13.5" thickBot="1">
      <c r="A153" s="4" t="s">
        <v>80</v>
      </c>
      <c r="B153" s="26" t="s">
        <v>36</v>
      </c>
      <c r="C153" s="2">
        <f t="shared" si="15"/>
        <v>2842</v>
      </c>
      <c r="D153" s="5">
        <f>1.09/4*3</f>
        <v>0.8175000000000001</v>
      </c>
      <c r="E153" s="64">
        <f t="shared" si="14"/>
        <v>2.3233350000000006</v>
      </c>
      <c r="F153" s="78">
        <v>400.2</v>
      </c>
      <c r="G153" s="54">
        <f t="shared" si="16"/>
        <v>929.7986670000003</v>
      </c>
      <c r="H153" s="2"/>
      <c r="J153"/>
      <c r="K153" s="20"/>
      <c r="L153" s="20"/>
      <c r="M153" s="21"/>
      <c r="N153"/>
      <c r="O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1" customFormat="1" ht="13.5" thickBot="1">
      <c r="A154" s="4" t="s">
        <v>81</v>
      </c>
      <c r="B154" s="26" t="s">
        <v>36</v>
      </c>
      <c r="C154" s="2">
        <f t="shared" si="15"/>
        <v>2842</v>
      </c>
      <c r="D154" s="5">
        <f>0.02/4*3</f>
        <v>0.015</v>
      </c>
      <c r="E154" s="64">
        <f t="shared" si="14"/>
        <v>0.042629999999999994</v>
      </c>
      <c r="F154" s="78">
        <v>51</v>
      </c>
      <c r="G154" s="54">
        <f t="shared" si="16"/>
        <v>2.17413</v>
      </c>
      <c r="H154" s="2"/>
      <c r="J154"/>
      <c r="K154" s="20"/>
      <c r="L154" s="20"/>
      <c r="M154" s="21"/>
      <c r="N154"/>
      <c r="O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1" customFormat="1" ht="13.5" thickBot="1">
      <c r="A155" s="4" t="s">
        <v>82</v>
      </c>
      <c r="B155" s="26" t="s">
        <v>62</v>
      </c>
      <c r="C155" s="2">
        <f t="shared" si="15"/>
        <v>2842</v>
      </c>
      <c r="D155" s="5">
        <f>0.36/4*3</f>
        <v>0.27</v>
      </c>
      <c r="E155" s="64">
        <f t="shared" si="14"/>
        <v>0.76734</v>
      </c>
      <c r="F155" s="78">
        <v>12000</v>
      </c>
      <c r="G155" s="54">
        <f t="shared" si="16"/>
        <v>9208.08</v>
      </c>
      <c r="H155" s="2"/>
      <c r="J155"/>
      <c r="K155" s="20"/>
      <c r="L155" s="20"/>
      <c r="M155" s="21"/>
      <c r="N155"/>
      <c r="O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s="1" customFormat="1" ht="13.5" thickBot="1">
      <c r="A156" s="4" t="s">
        <v>83</v>
      </c>
      <c r="B156" s="26" t="s">
        <v>36</v>
      </c>
      <c r="C156" s="2">
        <f t="shared" si="15"/>
        <v>2842</v>
      </c>
      <c r="D156" s="5">
        <f>0.95/4*3</f>
        <v>0.7124999999999999</v>
      </c>
      <c r="E156" s="64">
        <f t="shared" si="14"/>
        <v>2.0249249999999996</v>
      </c>
      <c r="F156" s="78">
        <v>82.45</v>
      </c>
      <c r="G156" s="54">
        <f t="shared" si="16"/>
        <v>166.95506625</v>
      </c>
      <c r="H156" s="2"/>
      <c r="J156"/>
      <c r="K156" s="20"/>
      <c r="L156" s="20"/>
      <c r="M156" s="21"/>
      <c r="N156"/>
      <c r="O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s="1" customFormat="1" ht="15" thickBot="1">
      <c r="A157" s="4" t="s">
        <v>84</v>
      </c>
      <c r="B157" s="26" t="s">
        <v>102</v>
      </c>
      <c r="C157" s="2">
        <f t="shared" si="15"/>
        <v>2842</v>
      </c>
      <c r="D157" s="5">
        <f>1.627/4*3</f>
        <v>1.22025</v>
      </c>
      <c r="E157" s="64">
        <f t="shared" si="14"/>
        <v>3.4679505</v>
      </c>
      <c r="F157" s="78">
        <v>2200</v>
      </c>
      <c r="G157" s="54">
        <f t="shared" si="16"/>
        <v>7629.4911</v>
      </c>
      <c r="H157" s="2"/>
      <c r="J157"/>
      <c r="K157" s="20"/>
      <c r="L157" s="20"/>
      <c r="M157" s="21"/>
      <c r="N157"/>
      <c r="O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s="1" customFormat="1" ht="15" thickBot="1">
      <c r="A158" s="4" t="s">
        <v>85</v>
      </c>
      <c r="B158" s="26" t="s">
        <v>102</v>
      </c>
      <c r="C158" s="2">
        <f t="shared" si="15"/>
        <v>2842</v>
      </c>
      <c r="D158" s="5">
        <f>0.0048/4*3</f>
        <v>0.0036</v>
      </c>
      <c r="E158" s="64">
        <f t="shared" si="14"/>
        <v>0.0102312</v>
      </c>
      <c r="F158" s="78">
        <v>575</v>
      </c>
      <c r="G158" s="54">
        <f t="shared" si="16"/>
        <v>5.88294</v>
      </c>
      <c r="H158" s="2"/>
      <c r="J158"/>
      <c r="K158" s="20"/>
      <c r="L158" s="20"/>
      <c r="M158" s="21"/>
      <c r="N158"/>
      <c r="O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s="1" customFormat="1" ht="13.5" thickBot="1">
      <c r="A159" s="4" t="s">
        <v>86</v>
      </c>
      <c r="B159" s="26" t="s">
        <v>62</v>
      </c>
      <c r="C159" s="2">
        <f t="shared" si="15"/>
        <v>2842</v>
      </c>
      <c r="D159" s="5">
        <f>0.58/4*3</f>
        <v>0.43499999999999994</v>
      </c>
      <c r="E159" s="64">
        <f t="shared" si="14"/>
        <v>1.2362699999999998</v>
      </c>
      <c r="F159" s="78">
        <v>24.25</v>
      </c>
      <c r="G159" s="54">
        <f t="shared" si="16"/>
        <v>29.979547499999995</v>
      </c>
      <c r="H159" s="2"/>
      <c r="J159"/>
      <c r="K159" s="20"/>
      <c r="L159" s="20"/>
      <c r="M159" s="21"/>
      <c r="N159"/>
      <c r="O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s="1" customFormat="1" ht="15" thickBot="1">
      <c r="A160" s="4" t="s">
        <v>87</v>
      </c>
      <c r="B160" s="26" t="s">
        <v>102</v>
      </c>
      <c r="C160" s="2">
        <f t="shared" si="15"/>
        <v>2842</v>
      </c>
      <c r="D160" s="5">
        <f>0.18/4*3</f>
        <v>0.135</v>
      </c>
      <c r="E160" s="64">
        <f t="shared" si="14"/>
        <v>0.38367</v>
      </c>
      <c r="F160" s="78">
        <v>15.4</v>
      </c>
      <c r="G160" s="54">
        <f t="shared" si="16"/>
        <v>5.908518</v>
      </c>
      <c r="H160" s="2"/>
      <c r="J160"/>
      <c r="K160" s="20"/>
      <c r="L160" s="20"/>
      <c r="M160" s="21"/>
      <c r="N160"/>
      <c r="O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s="1" customFormat="1" ht="27" thickBot="1">
      <c r="A161" s="4" t="s">
        <v>88</v>
      </c>
      <c r="B161" s="26" t="s">
        <v>36</v>
      </c>
      <c r="C161" s="2">
        <f t="shared" si="15"/>
        <v>2842</v>
      </c>
      <c r="D161" s="5">
        <f>4.14/4*3</f>
        <v>3.1049999999999995</v>
      </c>
      <c r="E161" s="64">
        <f t="shared" si="14"/>
        <v>8.824409999999999</v>
      </c>
      <c r="F161" s="78">
        <v>116.4</v>
      </c>
      <c r="G161" s="54">
        <f t="shared" si="16"/>
        <v>1027.161324</v>
      </c>
      <c r="H161" s="2"/>
      <c r="J161"/>
      <c r="K161" s="20"/>
      <c r="L161" s="20"/>
      <c r="M161" s="21"/>
      <c r="N161"/>
      <c r="O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s="1" customFormat="1" ht="15" thickBot="1">
      <c r="A162" s="4" t="s">
        <v>89</v>
      </c>
      <c r="B162" s="26" t="s">
        <v>102</v>
      </c>
      <c r="C162" s="2">
        <f t="shared" si="15"/>
        <v>2842</v>
      </c>
      <c r="D162" s="5">
        <f>3.02/4*3</f>
        <v>2.265</v>
      </c>
      <c r="E162" s="64">
        <f t="shared" si="14"/>
        <v>6.43713</v>
      </c>
      <c r="F162" s="78">
        <v>2581</v>
      </c>
      <c r="G162" s="54">
        <f t="shared" si="16"/>
        <v>16614.23253</v>
      </c>
      <c r="H162" s="2"/>
      <c r="J162"/>
      <c r="K162" s="20"/>
      <c r="L162" s="20"/>
      <c r="M162" s="21"/>
      <c r="N162"/>
      <c r="O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s="1" customFormat="1" ht="13.5" thickBot="1">
      <c r="A163" s="4" t="s">
        <v>90</v>
      </c>
      <c r="B163" s="26" t="s">
        <v>36</v>
      </c>
      <c r="C163" s="2">
        <f t="shared" si="15"/>
        <v>2842</v>
      </c>
      <c r="D163" s="5">
        <f>0.03/4*3</f>
        <v>0.0225</v>
      </c>
      <c r="E163" s="64">
        <f t="shared" si="14"/>
        <v>0.063945</v>
      </c>
      <c r="F163" s="78">
        <v>150.95</v>
      </c>
      <c r="G163" s="54">
        <f t="shared" si="16"/>
        <v>9.65249775</v>
      </c>
      <c r="H163" s="2"/>
      <c r="J163"/>
      <c r="K163" s="20"/>
      <c r="L163" s="20"/>
      <c r="M163" s="21"/>
      <c r="N163"/>
      <c r="O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s="1" customFormat="1" ht="13.5" thickBot="1">
      <c r="A164" s="4" t="s">
        <v>91</v>
      </c>
      <c r="B164" s="26" t="s">
        <v>36</v>
      </c>
      <c r="C164" s="2">
        <f t="shared" si="15"/>
        <v>2842</v>
      </c>
      <c r="D164" s="5">
        <f>0.04/4*3</f>
        <v>0.03</v>
      </c>
      <c r="E164" s="64">
        <f t="shared" si="14"/>
        <v>0.08525999999999999</v>
      </c>
      <c r="F164" s="78">
        <v>125.41</v>
      </c>
      <c r="G164" s="54">
        <f t="shared" si="16"/>
        <v>10.692456599999998</v>
      </c>
      <c r="H164" s="2"/>
      <c r="J164"/>
      <c r="K164" s="20"/>
      <c r="L164" s="20"/>
      <c r="M164" s="21"/>
      <c r="N164"/>
      <c r="O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s="1" customFormat="1" ht="13.5" thickBot="1">
      <c r="A165" s="4" t="s">
        <v>92</v>
      </c>
      <c r="B165" s="26" t="s">
        <v>62</v>
      </c>
      <c r="C165" s="2">
        <f t="shared" si="15"/>
        <v>2842</v>
      </c>
      <c r="D165" s="5">
        <f>1.08/4*3</f>
        <v>0.81</v>
      </c>
      <c r="E165" s="64">
        <f t="shared" si="14"/>
        <v>2.30202</v>
      </c>
      <c r="F165" s="78">
        <v>2.26</v>
      </c>
      <c r="G165" s="54">
        <f t="shared" si="16"/>
        <v>5.2025652</v>
      </c>
      <c r="H165" s="2"/>
      <c r="J165"/>
      <c r="K165" s="20"/>
      <c r="L165" s="20"/>
      <c r="M165" s="21"/>
      <c r="N165"/>
      <c r="O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s="1" customFormat="1" ht="13.5" thickBot="1">
      <c r="A166" s="4" t="s">
        <v>93</v>
      </c>
      <c r="B166" s="26" t="s">
        <v>36</v>
      </c>
      <c r="C166" s="2">
        <f t="shared" si="15"/>
        <v>2842</v>
      </c>
      <c r="D166" s="5">
        <f>0.52/4*3</f>
        <v>0.39</v>
      </c>
      <c r="E166" s="64">
        <f t="shared" si="14"/>
        <v>1.1083800000000001</v>
      </c>
      <c r="F166" s="78">
        <v>140</v>
      </c>
      <c r="G166" s="54">
        <f t="shared" si="16"/>
        <v>155.1732</v>
      </c>
      <c r="H166" s="2"/>
      <c r="J166"/>
      <c r="K166" s="20"/>
      <c r="L166" s="20"/>
      <c r="M166" s="21"/>
      <c r="N166"/>
      <c r="O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s="1" customFormat="1" ht="13.5" thickBot="1">
      <c r="A167" s="4" t="s">
        <v>94</v>
      </c>
      <c r="B167" s="26" t="s">
        <v>36</v>
      </c>
      <c r="C167" s="2">
        <f t="shared" si="15"/>
        <v>2842</v>
      </c>
      <c r="D167" s="5">
        <f>0.01/4*3</f>
        <v>0.0075</v>
      </c>
      <c r="E167" s="64">
        <f t="shared" si="14"/>
        <v>0.021314999999999997</v>
      </c>
      <c r="F167" s="78">
        <v>489</v>
      </c>
      <c r="G167" s="54">
        <f t="shared" si="16"/>
        <v>10.423034999999999</v>
      </c>
      <c r="H167" s="2"/>
      <c r="J167"/>
      <c r="K167" s="20"/>
      <c r="L167" s="20"/>
      <c r="M167" s="21"/>
      <c r="N167"/>
      <c r="O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s="1" customFormat="1" ht="13.5" thickBot="1">
      <c r="A168" s="4" t="s">
        <v>95</v>
      </c>
      <c r="B168" s="26" t="s">
        <v>62</v>
      </c>
      <c r="C168" s="2">
        <f t="shared" si="15"/>
        <v>2842</v>
      </c>
      <c r="D168" s="5">
        <f>1.9/4*3</f>
        <v>1.4249999999999998</v>
      </c>
      <c r="E168" s="64">
        <f t="shared" si="14"/>
        <v>4.049849999999999</v>
      </c>
      <c r="F168" s="78">
        <v>145.5</v>
      </c>
      <c r="G168" s="54">
        <f t="shared" si="16"/>
        <v>589.2531749999999</v>
      </c>
      <c r="H168" s="2"/>
      <c r="J168"/>
      <c r="K168" s="20"/>
      <c r="L168" s="20"/>
      <c r="M168" s="21"/>
      <c r="N168"/>
      <c r="O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s="1" customFormat="1" ht="13.5" thickBot="1">
      <c r="A169" s="4" t="s">
        <v>96</v>
      </c>
      <c r="B169" s="26" t="s">
        <v>62</v>
      </c>
      <c r="C169" s="2">
        <f t="shared" si="15"/>
        <v>2842</v>
      </c>
      <c r="D169" s="5">
        <f>2.1/4*3</f>
        <v>1.5750000000000002</v>
      </c>
      <c r="E169" s="64">
        <f t="shared" si="14"/>
        <v>4.4761500000000005</v>
      </c>
      <c r="F169" s="78">
        <v>121.5</v>
      </c>
      <c r="G169" s="54">
        <f t="shared" si="16"/>
        <v>543.8522250000001</v>
      </c>
      <c r="H169" s="2"/>
      <c r="J169"/>
      <c r="K169" s="20"/>
      <c r="L169" s="20"/>
      <c r="M169" s="21"/>
      <c r="N169"/>
      <c r="O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s="1" customFormat="1" ht="13.5" thickBot="1">
      <c r="A170" s="4" t="s">
        <v>97</v>
      </c>
      <c r="B170" s="26" t="s">
        <v>62</v>
      </c>
      <c r="C170" s="2">
        <f t="shared" si="15"/>
        <v>2842</v>
      </c>
      <c r="D170" s="5">
        <f>2.1/4*3</f>
        <v>1.5750000000000002</v>
      </c>
      <c r="E170" s="64">
        <f t="shared" si="14"/>
        <v>4.4761500000000005</v>
      </c>
      <c r="F170" s="78">
        <v>53.77</v>
      </c>
      <c r="G170" s="54">
        <f t="shared" si="16"/>
        <v>240.68258550000004</v>
      </c>
      <c r="H170" s="2"/>
      <c r="J170"/>
      <c r="K170" s="20"/>
      <c r="L170" s="20"/>
      <c r="M170" s="21"/>
      <c r="N170"/>
      <c r="O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s="1" customFormat="1" ht="13.5" thickBot="1">
      <c r="A171" s="4" t="s">
        <v>98</v>
      </c>
      <c r="B171" s="26" t="s">
        <v>36</v>
      </c>
      <c r="C171" s="2">
        <f t="shared" si="15"/>
        <v>2842</v>
      </c>
      <c r="D171" s="5">
        <f>0.88/4*3</f>
        <v>0.66</v>
      </c>
      <c r="E171" s="64">
        <f t="shared" si="14"/>
        <v>1.87572</v>
      </c>
      <c r="F171" s="78">
        <v>48.17</v>
      </c>
      <c r="G171" s="54">
        <f t="shared" si="16"/>
        <v>90.3534324</v>
      </c>
      <c r="H171" s="2"/>
      <c r="J171"/>
      <c r="K171" s="20"/>
      <c r="L171" s="20"/>
      <c r="M171" s="21"/>
      <c r="N171"/>
      <c r="O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s="1" customFormat="1" ht="13.5" thickBot="1">
      <c r="A172" s="4" t="s">
        <v>99</v>
      </c>
      <c r="B172" s="26" t="s">
        <v>36</v>
      </c>
      <c r="C172" s="2">
        <f t="shared" si="15"/>
        <v>2842</v>
      </c>
      <c r="D172" s="5">
        <f>6.29/4*3</f>
        <v>4.7175</v>
      </c>
      <c r="E172" s="64">
        <f t="shared" si="14"/>
        <v>13.407135</v>
      </c>
      <c r="F172" s="78">
        <v>50</v>
      </c>
      <c r="G172" s="54">
        <f t="shared" si="16"/>
        <v>670.35675</v>
      </c>
      <c r="H172" s="2"/>
      <c r="J172"/>
      <c r="K172" s="20"/>
      <c r="L172" s="20"/>
      <c r="M172" s="21"/>
      <c r="N172"/>
      <c r="O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s="1" customFormat="1" ht="13.5" thickBot="1">
      <c r="A173" s="4" t="s">
        <v>100</v>
      </c>
      <c r="B173" s="26" t="s">
        <v>36</v>
      </c>
      <c r="C173" s="2">
        <f t="shared" si="15"/>
        <v>2842</v>
      </c>
      <c r="D173" s="5">
        <f>0.15/4*3</f>
        <v>0.11249999999999999</v>
      </c>
      <c r="E173" s="64">
        <f t="shared" si="14"/>
        <v>0.319725</v>
      </c>
      <c r="F173" s="78">
        <v>94.11</v>
      </c>
      <c r="G173" s="54">
        <f t="shared" si="16"/>
        <v>30.089319749999998</v>
      </c>
      <c r="H173" s="2"/>
      <c r="J173"/>
      <c r="K173" s="20"/>
      <c r="L173" s="20"/>
      <c r="M173" s="21"/>
      <c r="N173"/>
      <c r="O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s="1" customFormat="1" ht="13.5" thickBot="1">
      <c r="A174" s="4" t="s">
        <v>101</v>
      </c>
      <c r="B174" s="26" t="s">
        <v>36</v>
      </c>
      <c r="C174" s="2">
        <f t="shared" si="15"/>
        <v>2842</v>
      </c>
      <c r="D174" s="5">
        <f>0.33/4*3</f>
        <v>0.2475</v>
      </c>
      <c r="E174" s="64">
        <f t="shared" si="14"/>
        <v>0.703395</v>
      </c>
      <c r="F174" s="78">
        <v>56.64</v>
      </c>
      <c r="G174" s="54">
        <f t="shared" si="16"/>
        <v>39.8402928</v>
      </c>
      <c r="H174" s="2"/>
      <c r="J174"/>
      <c r="K174" s="20"/>
      <c r="L174" s="20"/>
      <c r="M174" s="21"/>
      <c r="N174"/>
      <c r="O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s="1" customFormat="1" ht="13.5" thickBot="1">
      <c r="A175" s="4" t="s">
        <v>209</v>
      </c>
      <c r="B175" s="26"/>
      <c r="C175" s="2"/>
      <c r="D175" s="5"/>
      <c r="E175" s="64"/>
      <c r="F175" s="78"/>
      <c r="G175" s="54">
        <f>(E145+E146)*спецодежда!G35</f>
        <v>605.3522926995598</v>
      </c>
      <c r="H175" s="2"/>
      <c r="J175"/>
      <c r="K175" s="20"/>
      <c r="L175" s="20"/>
      <c r="M175" s="21"/>
      <c r="N175"/>
      <c r="O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s="1" customFormat="1" ht="15">
      <c r="A176" s="9" t="s">
        <v>48</v>
      </c>
      <c r="B176" s="10"/>
      <c r="C176" s="10"/>
      <c r="D176" s="10"/>
      <c r="E176" s="10"/>
      <c r="F176" s="10"/>
      <c r="G176" s="66">
        <f>SUM(G145:G146,G148:G175)</f>
        <v>90539.0409976417</v>
      </c>
      <c r="H176" s="41">
        <f>G176/B5/12</f>
        <v>2.6547924289714318</v>
      </c>
      <c r="J176"/>
      <c r="N176"/>
      <c r="O176"/>
      <c r="Q176"/>
      <c r="R176"/>
      <c r="S176"/>
      <c r="T176"/>
      <c r="U176"/>
      <c r="V176"/>
      <c r="W176"/>
      <c r="X176"/>
      <c r="Y176"/>
      <c r="Z176"/>
      <c r="AA176"/>
      <c r="AB176"/>
    </row>
    <row r="178" spans="1:28" s="1" customFormat="1" ht="73.5" customHeight="1">
      <c r="A178" s="167" t="s">
        <v>250</v>
      </c>
      <c r="B178" s="168"/>
      <c r="C178" s="169" t="s">
        <v>39</v>
      </c>
      <c r="D178" s="170"/>
      <c r="E178" s="170"/>
      <c r="F178" s="170"/>
      <c r="G178" s="170"/>
      <c r="H178" s="170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s="1" customFormat="1" ht="91.5" customHeight="1" thickBot="1">
      <c r="A179" s="13" t="s">
        <v>3</v>
      </c>
      <c r="B179" s="13" t="s">
        <v>4</v>
      </c>
      <c r="C179" s="13" t="s">
        <v>0</v>
      </c>
      <c r="D179" s="13" t="s">
        <v>1</v>
      </c>
      <c r="E179" s="13" t="s">
        <v>5</v>
      </c>
      <c r="F179" s="14" t="s">
        <v>46</v>
      </c>
      <c r="G179" s="14" t="s">
        <v>225</v>
      </c>
      <c r="H179" s="14" t="s">
        <v>49</v>
      </c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s="1" customFormat="1" ht="39.75" thickBot="1">
      <c r="A180" s="3" t="s">
        <v>40</v>
      </c>
      <c r="B180" s="59">
        <v>3</v>
      </c>
      <c r="C180" s="2">
        <f>B5</f>
        <v>2842</v>
      </c>
      <c r="D180" s="26">
        <f>4.2*0.8</f>
        <v>3.3600000000000003</v>
      </c>
      <c r="E180" s="64">
        <f>C180*D180/1000</f>
        <v>9.54912</v>
      </c>
      <c r="F180" s="64">
        <f>M7</f>
        <v>62.24799025578562</v>
      </c>
      <c r="G180" s="54">
        <f>E180*F180*1.42*1.15*1.302</f>
        <v>1263.8218346860485</v>
      </c>
      <c r="H180" s="11"/>
      <c r="J180"/>
      <c r="K180" s="20"/>
      <c r="L180" s="20"/>
      <c r="M180" s="21"/>
      <c r="N180"/>
      <c r="O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s="1" customFormat="1" ht="13.5" thickBot="1">
      <c r="A181" s="9" t="s">
        <v>11</v>
      </c>
      <c r="B181" s="10" t="s">
        <v>42</v>
      </c>
      <c r="C181" s="10" t="s">
        <v>0</v>
      </c>
      <c r="D181" s="10" t="s">
        <v>1</v>
      </c>
      <c r="E181" s="10" t="s">
        <v>43</v>
      </c>
      <c r="F181" s="10" t="s">
        <v>47</v>
      </c>
      <c r="G181" s="12" t="s">
        <v>145</v>
      </c>
      <c r="H181" s="12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s="1" customFormat="1" ht="13.5" thickBot="1">
      <c r="A182" s="4" t="s">
        <v>103</v>
      </c>
      <c r="B182" s="26" t="s">
        <v>30</v>
      </c>
      <c r="C182" s="2">
        <f>C180</f>
        <v>2842</v>
      </c>
      <c r="D182" s="5">
        <v>0.032</v>
      </c>
      <c r="E182" s="64">
        <f>C182*D182/1000</f>
        <v>0.090944</v>
      </c>
      <c r="F182" s="78">
        <v>3500</v>
      </c>
      <c r="G182" s="54">
        <f>E182*F182</f>
        <v>318.304</v>
      </c>
      <c r="H182" s="2"/>
      <c r="J182"/>
      <c r="K182" s="20"/>
      <c r="L182" s="20"/>
      <c r="M182" s="21"/>
      <c r="N182"/>
      <c r="O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s="1" customFormat="1" ht="27" thickBot="1">
      <c r="A183" s="4" t="s">
        <v>104</v>
      </c>
      <c r="B183" s="26" t="s">
        <v>102</v>
      </c>
      <c r="C183" s="2">
        <f>C180</f>
        <v>2842</v>
      </c>
      <c r="D183" s="5">
        <v>0.006</v>
      </c>
      <c r="E183" s="64">
        <f>C183*D183/1000</f>
        <v>0.017052</v>
      </c>
      <c r="F183" s="78">
        <v>2300</v>
      </c>
      <c r="G183" s="54">
        <f>E183*F183</f>
        <v>39.2196</v>
      </c>
      <c r="H183" s="2"/>
      <c r="J183"/>
      <c r="K183" s="20"/>
      <c r="L183" s="20"/>
      <c r="M183" s="21"/>
      <c r="N183"/>
      <c r="O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s="1" customFormat="1" ht="13.5" thickBot="1">
      <c r="A184" s="4" t="s">
        <v>209</v>
      </c>
      <c r="B184" s="26"/>
      <c r="C184" s="2"/>
      <c r="D184" s="5"/>
      <c r="E184" s="64"/>
      <c r="F184" s="78"/>
      <c r="G184" s="54">
        <f>E180*спецодежда!G35</f>
        <v>16.388556147534615</v>
      </c>
      <c r="H184" s="2"/>
      <c r="J184"/>
      <c r="K184" s="20"/>
      <c r="L184" s="20"/>
      <c r="M184" s="21"/>
      <c r="N184"/>
      <c r="O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s="1" customFormat="1" ht="15">
      <c r="A185" s="9" t="s">
        <v>48</v>
      </c>
      <c r="B185" s="10"/>
      <c r="C185" s="10"/>
      <c r="D185" s="10"/>
      <c r="E185" s="10"/>
      <c r="F185" s="10"/>
      <c r="G185" s="66">
        <f>G180+G182+G183+G184</f>
        <v>1637.7339908335832</v>
      </c>
      <c r="H185" s="41">
        <f>G185/B5/12</f>
        <v>0.048021756709875185</v>
      </c>
      <c r="J185"/>
      <c r="N185"/>
      <c r="O185"/>
      <c r="Q185"/>
      <c r="R185"/>
      <c r="S185"/>
      <c r="T185"/>
      <c r="U185"/>
      <c r="V185"/>
      <c r="W185"/>
      <c r="X185"/>
      <c r="Y185"/>
      <c r="Z185"/>
      <c r="AA185"/>
      <c r="AB185"/>
    </row>
    <row r="187" spans="1:28" s="1" customFormat="1" ht="44.25" customHeight="1">
      <c r="A187" s="167" t="s">
        <v>251</v>
      </c>
      <c r="B187" s="168"/>
      <c r="C187" s="169" t="s">
        <v>41</v>
      </c>
      <c r="D187" s="170"/>
      <c r="E187" s="170"/>
      <c r="F187" s="170"/>
      <c r="G187" s="170"/>
      <c r="H187" s="170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s="1" customFormat="1" ht="91.5" customHeight="1" thickBot="1">
      <c r="A188" s="13" t="s">
        <v>3</v>
      </c>
      <c r="B188" s="13" t="s">
        <v>4</v>
      </c>
      <c r="C188" s="13" t="s">
        <v>0</v>
      </c>
      <c r="D188" s="13" t="s">
        <v>1</v>
      </c>
      <c r="E188" s="13" t="s">
        <v>5</v>
      </c>
      <c r="F188" s="14" t="s">
        <v>46</v>
      </c>
      <c r="G188" s="14" t="s">
        <v>225</v>
      </c>
      <c r="H188" s="14" t="s">
        <v>49</v>
      </c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s="1" customFormat="1" ht="39.75" thickBot="1">
      <c r="A189" s="3" t="s">
        <v>227</v>
      </c>
      <c r="B189" s="59">
        <v>3</v>
      </c>
      <c r="C189" s="2">
        <f>B5</f>
        <v>2842</v>
      </c>
      <c r="D189" s="26">
        <f>22*0.8</f>
        <v>17.6</v>
      </c>
      <c r="E189" s="64">
        <f>C189*D189/1000</f>
        <v>50.019200000000005</v>
      </c>
      <c r="F189" s="64">
        <f>M7</f>
        <v>62.24799025578562</v>
      </c>
      <c r="G189" s="54">
        <f>E189*F189*1.4*1.15*1.302</f>
        <v>6526.7794279561185</v>
      </c>
      <c r="H189" s="11"/>
      <c r="J189"/>
      <c r="K189" s="20"/>
      <c r="L189" s="20"/>
      <c r="M189" s="21"/>
      <c r="N189"/>
      <c r="O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s="1" customFormat="1" ht="13.5" thickBot="1">
      <c r="A190" s="9" t="s">
        <v>11</v>
      </c>
      <c r="B190" s="10" t="s">
        <v>42</v>
      </c>
      <c r="C190" s="10" t="s">
        <v>0</v>
      </c>
      <c r="D190" s="10" t="s">
        <v>1</v>
      </c>
      <c r="E190" s="10" t="s">
        <v>43</v>
      </c>
      <c r="F190" s="10" t="s">
        <v>47</v>
      </c>
      <c r="G190" s="12" t="s">
        <v>145</v>
      </c>
      <c r="H190" s="12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s="1" customFormat="1" ht="13.5" thickBot="1">
      <c r="A191" s="4" t="s">
        <v>109</v>
      </c>
      <c r="B191" s="26" t="s">
        <v>36</v>
      </c>
      <c r="C191" s="2">
        <f>C189</f>
        <v>2842</v>
      </c>
      <c r="D191" s="5">
        <v>0.013</v>
      </c>
      <c r="E191" s="64">
        <f>C191*D191/1000</f>
        <v>0.036946</v>
      </c>
      <c r="F191" s="78">
        <v>102</v>
      </c>
      <c r="G191" s="54">
        <f>E191*F191</f>
        <v>3.768492</v>
      </c>
      <c r="H191" s="2"/>
      <c r="J191"/>
      <c r="K191" s="20"/>
      <c r="L191" s="20"/>
      <c r="M191" s="21"/>
      <c r="N191"/>
      <c r="O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s="1" customFormat="1" ht="13.5" thickBot="1">
      <c r="A192" s="4" t="s">
        <v>110</v>
      </c>
      <c r="B192" s="26" t="s">
        <v>36</v>
      </c>
      <c r="C192" s="2">
        <f>C189</f>
        <v>2842</v>
      </c>
      <c r="D192" s="5">
        <v>0.315</v>
      </c>
      <c r="E192" s="64">
        <f>C192*D192/1000</f>
        <v>0.89523</v>
      </c>
      <c r="F192" s="78">
        <v>105</v>
      </c>
      <c r="G192" s="54">
        <f>E192*F192</f>
        <v>93.99915</v>
      </c>
      <c r="H192" s="2"/>
      <c r="J192"/>
      <c r="K192" s="20"/>
      <c r="L192" s="20"/>
      <c r="M192" s="21"/>
      <c r="N192"/>
      <c r="O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s="1" customFormat="1" ht="13.5" thickBot="1">
      <c r="A193" s="4" t="s">
        <v>209</v>
      </c>
      <c r="B193" s="26"/>
      <c r="C193" s="2"/>
      <c r="D193" s="5"/>
      <c r="E193" s="64"/>
      <c r="F193" s="78"/>
      <c r="G193" s="54">
        <f>E189*спецодежда!G48</f>
        <v>189.86381017414823</v>
      </c>
      <c r="H193" s="2"/>
      <c r="J193"/>
      <c r="K193" s="20"/>
      <c r="L193" s="20"/>
      <c r="M193" s="21"/>
      <c r="N193"/>
      <c r="O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s="1" customFormat="1" ht="15">
      <c r="A194" s="9" t="s">
        <v>48</v>
      </c>
      <c r="B194" s="10"/>
      <c r="C194" s="10"/>
      <c r="D194" s="10"/>
      <c r="E194" s="10"/>
      <c r="F194" s="10"/>
      <c r="G194" s="66">
        <f>G189+G191+G192+G193</f>
        <v>6814.410880130266</v>
      </c>
      <c r="H194" s="41">
        <f>G194/B5/12</f>
        <v>0.19981265775657597</v>
      </c>
      <c r="J194"/>
      <c r="N194"/>
      <c r="O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s="1" customFormat="1" ht="12.75">
      <c r="A195" s="36"/>
      <c r="B195" s="36"/>
      <c r="D195" s="36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s="1" customFormat="1" ht="12.75">
      <c r="A196" s="173" t="s">
        <v>252</v>
      </c>
      <c r="B196" s="174"/>
      <c r="C196" s="174"/>
      <c r="D196" s="174"/>
      <c r="E196" s="174"/>
      <c r="F196" s="174"/>
      <c r="G196" s="174"/>
      <c r="H196" s="174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8" ht="28.5" customHeight="1">
      <c r="A197" s="97" t="s">
        <v>264</v>
      </c>
      <c r="B197" s="38"/>
      <c r="C197" s="38"/>
      <c r="D197" s="38"/>
      <c r="E197" s="38"/>
      <c r="F197" s="38"/>
      <c r="G197" s="38"/>
      <c r="H197" s="38"/>
    </row>
    <row r="198" spans="1:8" ht="26.25">
      <c r="A198" s="13" t="s">
        <v>263</v>
      </c>
      <c r="B198" s="10"/>
      <c r="C198" s="10"/>
      <c r="D198" s="10"/>
      <c r="E198" s="10"/>
      <c r="F198" s="10"/>
      <c r="G198" s="12"/>
      <c r="H198" s="96" t="s">
        <v>49</v>
      </c>
    </row>
    <row r="199" spans="1:28" s="1" customFormat="1" ht="12.75">
      <c r="A199" s="32" t="s">
        <v>113</v>
      </c>
      <c r="B199" s="33"/>
      <c r="C199" s="33"/>
      <c r="D199" s="33"/>
      <c r="E199" s="35"/>
      <c r="F199" s="33"/>
      <c r="G199" s="34"/>
      <c r="H199" s="33">
        <v>1.46</v>
      </c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s="1" customFormat="1" ht="12.75">
      <c r="A200" s="32" t="s">
        <v>114</v>
      </c>
      <c r="B200" s="33"/>
      <c r="C200" s="33"/>
      <c r="D200" s="33"/>
      <c r="E200" s="35"/>
      <c r="F200" s="33"/>
      <c r="G200" s="34"/>
      <c r="H200" s="33">
        <v>0.27</v>
      </c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s="1" customFormat="1" ht="15">
      <c r="A201" s="9" t="s">
        <v>48</v>
      </c>
      <c r="B201" s="10"/>
      <c r="C201" s="10"/>
      <c r="D201" s="10"/>
      <c r="E201" s="10"/>
      <c r="F201" s="10"/>
      <c r="G201" s="12"/>
      <c r="H201" s="41">
        <f>H199+H200</f>
        <v>1.73</v>
      </c>
      <c r="Q201"/>
      <c r="R201"/>
      <c r="S201"/>
      <c r="T201"/>
      <c r="U201"/>
      <c r="V201"/>
      <c r="W201"/>
      <c r="X201"/>
      <c r="Y201"/>
      <c r="Z201"/>
      <c r="AA201"/>
      <c r="AB201"/>
    </row>
    <row r="203" spans="1:28" s="1" customFormat="1" ht="12.75">
      <c r="A203" s="173" t="s">
        <v>254</v>
      </c>
      <c r="B203" s="174"/>
      <c r="C203" s="174"/>
      <c r="D203" s="174"/>
      <c r="E203" s="174"/>
      <c r="F203" s="174"/>
      <c r="G203" s="174"/>
      <c r="H203" s="174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s="1" customFormat="1" ht="12.75">
      <c r="A204" s="37"/>
      <c r="B204" s="38"/>
      <c r="C204" s="38"/>
      <c r="D204" s="38"/>
      <c r="E204" s="38"/>
      <c r="F204" s="38"/>
      <c r="G204" s="38"/>
      <c r="H204" s="38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s="1" customFormat="1" ht="39.75" thickBot="1">
      <c r="A205" s="13" t="s">
        <v>139</v>
      </c>
      <c r="B205" s="13" t="s">
        <v>140</v>
      </c>
      <c r="C205" s="14" t="s">
        <v>141</v>
      </c>
      <c r="D205" s="14" t="s">
        <v>142</v>
      </c>
      <c r="E205" s="13"/>
      <c r="F205" s="14"/>
      <c r="G205" s="14" t="s">
        <v>143</v>
      </c>
      <c r="H205" s="14" t="s">
        <v>49</v>
      </c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s="1" customFormat="1" ht="13.5" thickBot="1">
      <c r="A206" s="4" t="s">
        <v>117</v>
      </c>
      <c r="B206" s="26">
        <v>0.51</v>
      </c>
      <c r="C206" s="2">
        <f>B10</f>
        <v>698</v>
      </c>
      <c r="D206" s="5">
        <v>2</v>
      </c>
      <c r="E206" s="64"/>
      <c r="F206" s="78"/>
      <c r="G206" s="54">
        <f>B206*C206*D206</f>
        <v>711.96</v>
      </c>
      <c r="H206" s="2"/>
      <c r="J206"/>
      <c r="K206" s="20"/>
      <c r="L206" s="20"/>
      <c r="M206" s="21"/>
      <c r="N206"/>
      <c r="O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s="1" customFormat="1" ht="13.5" thickBot="1">
      <c r="A207" s="4" t="s">
        <v>118</v>
      </c>
      <c r="B207" s="26">
        <v>1.68</v>
      </c>
      <c r="C207" s="2">
        <f>C206</f>
        <v>698</v>
      </c>
      <c r="D207" s="5">
        <v>2</v>
      </c>
      <c r="E207" s="64"/>
      <c r="F207" s="78"/>
      <c r="G207" s="54">
        <f>B207*C207*D207</f>
        <v>2345.2799999999997</v>
      </c>
      <c r="H207" s="2"/>
      <c r="J207"/>
      <c r="K207" s="20"/>
      <c r="L207" s="20"/>
      <c r="M207" s="21"/>
      <c r="N207"/>
      <c r="O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s="1" customFormat="1" ht="15">
      <c r="A208" s="9" t="s">
        <v>48</v>
      </c>
      <c r="B208" s="10"/>
      <c r="C208" s="10"/>
      <c r="D208" s="10"/>
      <c r="E208" s="10"/>
      <c r="F208" s="10"/>
      <c r="G208" s="66">
        <f>G206+G207</f>
        <v>3057.24</v>
      </c>
      <c r="H208" s="41">
        <f>G208/B5/12</f>
        <v>0.08964461646727656</v>
      </c>
      <c r="J208"/>
      <c r="N208"/>
      <c r="O208"/>
      <c r="Q208"/>
      <c r="R208"/>
      <c r="S208"/>
      <c r="T208"/>
      <c r="U208"/>
      <c r="V208"/>
      <c r="W208"/>
      <c r="X208"/>
      <c r="Y208"/>
      <c r="Z208"/>
      <c r="AA208"/>
      <c r="AB208"/>
    </row>
    <row r="210" spans="1:28" s="1" customFormat="1" ht="12.75">
      <c r="A210" s="173" t="s">
        <v>256</v>
      </c>
      <c r="B210" s="174"/>
      <c r="C210" s="174"/>
      <c r="D210" s="174"/>
      <c r="E210" s="174"/>
      <c r="F210" s="174"/>
      <c r="G210" s="174"/>
      <c r="H210" s="174"/>
      <c r="Q210"/>
      <c r="R210"/>
      <c r="S210"/>
      <c r="T210"/>
      <c r="U210"/>
      <c r="V210"/>
      <c r="W210"/>
      <c r="X210"/>
      <c r="Y210"/>
      <c r="Z210"/>
      <c r="AA210"/>
      <c r="AB210"/>
    </row>
    <row r="212" spans="1:28" s="1" customFormat="1" ht="13.5">
      <c r="A212" s="43" t="s">
        <v>119</v>
      </c>
      <c r="B212" s="44" t="s">
        <v>120</v>
      </c>
      <c r="C212" s="45" t="s">
        <v>121</v>
      </c>
      <c r="D212" s="44" t="s">
        <v>122</v>
      </c>
      <c r="E212" s="45" t="s">
        <v>123</v>
      </c>
      <c r="F212" s="44" t="s">
        <v>124</v>
      </c>
      <c r="G212" s="46" t="s">
        <v>134</v>
      </c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s="1" customFormat="1" ht="13.5">
      <c r="A213" s="47"/>
      <c r="B213" s="48" t="s">
        <v>125</v>
      </c>
      <c r="C213" s="49"/>
      <c r="D213" s="50">
        <v>0.302</v>
      </c>
      <c r="E213" s="51"/>
      <c r="F213" s="48" t="s">
        <v>126</v>
      </c>
      <c r="G213" s="52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s="1" customFormat="1" ht="12.75">
      <c r="A214" s="2" t="s">
        <v>127</v>
      </c>
      <c r="B214" s="11">
        <f>2/400000*$B$4</f>
        <v>0.019085</v>
      </c>
      <c r="C214" s="53">
        <v>40000</v>
      </c>
      <c r="D214" s="54">
        <f>SUM(C214*D213)</f>
        <v>12080</v>
      </c>
      <c r="E214" s="54">
        <f>SUM(C214:D214)</f>
        <v>52080</v>
      </c>
      <c r="F214" s="11">
        <f>SUM(E214*B214)</f>
        <v>993.9468</v>
      </c>
      <c r="G214" s="55">
        <f>F214/$B$5</f>
        <v>0.34973497536945813</v>
      </c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1" customFormat="1" ht="12.75">
      <c r="A215" s="2" t="s">
        <v>128</v>
      </c>
      <c r="B215" s="11">
        <f>2/400000*$B$4</f>
        <v>0.019085</v>
      </c>
      <c r="C215" s="53">
        <v>25000</v>
      </c>
      <c r="D215" s="54">
        <f>SUM(C215*D213)</f>
        <v>7550</v>
      </c>
      <c r="E215" s="54">
        <f aca="true" t="shared" si="17" ref="E215:E221">SUM(C215:D215)</f>
        <v>32550</v>
      </c>
      <c r="F215" s="11">
        <f aca="true" t="shared" si="18" ref="F215:F221">SUM(E215*B215)</f>
        <v>621.21675</v>
      </c>
      <c r="G215" s="55">
        <f aca="true" t="shared" si="19" ref="G215:G221">F215/$B$5</f>
        <v>0.21858435960591135</v>
      </c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1" customFormat="1" ht="12.75">
      <c r="A216" s="2" t="s">
        <v>129</v>
      </c>
      <c r="B216" s="11">
        <f>2/400000*$B$4</f>
        <v>0.019085</v>
      </c>
      <c r="C216" s="53">
        <v>25000</v>
      </c>
      <c r="D216" s="54">
        <f>SUM(C216*D213)</f>
        <v>7550</v>
      </c>
      <c r="E216" s="54">
        <f t="shared" si="17"/>
        <v>32550</v>
      </c>
      <c r="F216" s="11">
        <f t="shared" si="18"/>
        <v>621.21675</v>
      </c>
      <c r="G216" s="55">
        <f t="shared" si="19"/>
        <v>0.21858435960591135</v>
      </c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1" customFormat="1" ht="12.75">
      <c r="A217" s="2" t="s">
        <v>229</v>
      </c>
      <c r="B217" s="11">
        <f>2/400000*$B$4</f>
        <v>0.019085</v>
      </c>
      <c r="C217" s="53">
        <v>20000</v>
      </c>
      <c r="D217" s="54">
        <f>SUM(C217*D213)</f>
        <v>6040</v>
      </c>
      <c r="E217" s="54">
        <f t="shared" si="17"/>
        <v>26040</v>
      </c>
      <c r="F217" s="11">
        <f t="shared" si="18"/>
        <v>496.9734</v>
      </c>
      <c r="G217" s="55">
        <f t="shared" si="19"/>
        <v>0.17486748768472907</v>
      </c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1" customFormat="1" ht="12.75">
      <c r="A218" s="2" t="s">
        <v>130</v>
      </c>
      <c r="B218" s="11">
        <f>2/400000*$B$4</f>
        <v>0.019085</v>
      </c>
      <c r="C218" s="53">
        <v>20000</v>
      </c>
      <c r="D218" s="54">
        <f>SUM(C218*D213)</f>
        <v>6040</v>
      </c>
      <c r="E218" s="54">
        <f t="shared" si="17"/>
        <v>26040</v>
      </c>
      <c r="F218" s="11">
        <f>SUM(E218*B218)</f>
        <v>496.9734</v>
      </c>
      <c r="G218" s="55">
        <f t="shared" si="19"/>
        <v>0.17486748768472907</v>
      </c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1" customFormat="1" ht="12.75">
      <c r="A219" s="2" t="s">
        <v>131</v>
      </c>
      <c r="B219" s="42">
        <f>1/400000*$B$4</f>
        <v>0.0095425</v>
      </c>
      <c r="C219" s="53">
        <v>20000</v>
      </c>
      <c r="D219" s="54">
        <f>SUM(C219*D213)</f>
        <v>6040</v>
      </c>
      <c r="E219" s="54">
        <f t="shared" si="17"/>
        <v>26040</v>
      </c>
      <c r="F219" s="11">
        <f t="shared" si="18"/>
        <v>248.4867</v>
      </c>
      <c r="G219" s="55">
        <f t="shared" si="19"/>
        <v>0.08743374384236453</v>
      </c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ht="12.75">
      <c r="A220" s="2" t="s">
        <v>132</v>
      </c>
      <c r="B220" s="11">
        <f>2/400000*$B$4</f>
        <v>0.019085</v>
      </c>
      <c r="C220" s="53">
        <v>20000</v>
      </c>
      <c r="D220" s="54">
        <f>SUM(C220*D213)</f>
        <v>6040</v>
      </c>
      <c r="E220" s="54">
        <f t="shared" si="17"/>
        <v>26040</v>
      </c>
      <c r="F220" s="11">
        <f t="shared" si="18"/>
        <v>496.9734</v>
      </c>
      <c r="G220" s="55">
        <f t="shared" si="19"/>
        <v>0.17486748768472907</v>
      </c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1" customFormat="1" ht="12.75">
      <c r="A221" s="2" t="s">
        <v>133</v>
      </c>
      <c r="B221" s="11">
        <f>1/400000*$B$4</f>
        <v>0.0095425</v>
      </c>
      <c r="C221" s="53">
        <v>15000</v>
      </c>
      <c r="D221" s="54">
        <f>SUM(C221*D213)</f>
        <v>4530</v>
      </c>
      <c r="E221" s="54">
        <f t="shared" si="17"/>
        <v>19530</v>
      </c>
      <c r="F221" s="11">
        <f t="shared" si="18"/>
        <v>186.365025</v>
      </c>
      <c r="G221" s="55">
        <f t="shared" si="19"/>
        <v>0.0655753078817734</v>
      </c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7" ht="13.5">
      <c r="A222" s="56" t="s">
        <v>48</v>
      </c>
      <c r="B222" s="56">
        <f aca="true" t="shared" si="20" ref="B222:G222">SUM(B214:B221)</f>
        <v>0.13359500000000002</v>
      </c>
      <c r="C222" s="57">
        <f t="shared" si="20"/>
        <v>185000</v>
      </c>
      <c r="D222" s="57">
        <f t="shared" si="20"/>
        <v>55870</v>
      </c>
      <c r="E222" s="57">
        <f t="shared" si="20"/>
        <v>240870</v>
      </c>
      <c r="F222" s="57">
        <f t="shared" si="20"/>
        <v>4162.152225</v>
      </c>
      <c r="G222" s="58">
        <f t="shared" si="20"/>
        <v>1.4645152093596059</v>
      </c>
    </row>
    <row r="224" spans="1:6" ht="12.75">
      <c r="A224" s="2" t="s">
        <v>135</v>
      </c>
      <c r="B224" s="2"/>
      <c r="C224" s="2"/>
      <c r="D224" s="2"/>
      <c r="E224" s="53">
        <f>SUM(F222*30%)</f>
        <v>1248.6456675</v>
      </c>
      <c r="F224" s="11">
        <f>E224/B5</f>
        <v>0.43935456280788177</v>
      </c>
    </row>
    <row r="225" spans="1:6" ht="48" customHeight="1">
      <c r="A225" s="3" t="s">
        <v>136</v>
      </c>
      <c r="B225" s="182" t="s">
        <v>138</v>
      </c>
      <c r="C225" s="182"/>
      <c r="D225" s="182"/>
      <c r="E225" s="60">
        <f>17.77*0.03*B5</f>
        <v>1515.0702</v>
      </c>
      <c r="F225" s="61">
        <f>E225/B5</f>
        <v>0.5331</v>
      </c>
    </row>
    <row r="226" spans="1:8" ht="15">
      <c r="A226" s="62" t="s">
        <v>137</v>
      </c>
      <c r="B226" s="2"/>
      <c r="C226" s="2"/>
      <c r="D226" s="2"/>
      <c r="E226" s="63">
        <f>SUM(E224:E225,F222)</f>
        <v>6925.8680925</v>
      </c>
      <c r="H226" s="41">
        <f>G222+F224+F225</f>
        <v>2.4369697721674877</v>
      </c>
    </row>
    <row r="228" spans="1:8" ht="12.75">
      <c r="A228" s="173" t="s">
        <v>257</v>
      </c>
      <c r="B228" s="174"/>
      <c r="C228" s="174"/>
      <c r="D228" s="174"/>
      <c r="E228" s="174"/>
      <c r="F228" s="174"/>
      <c r="G228" s="174"/>
      <c r="H228" s="174"/>
    </row>
    <row r="230" spans="1:8" ht="29.25" customHeight="1">
      <c r="A230" s="171" t="s">
        <v>223</v>
      </c>
      <c r="B230" s="180"/>
      <c r="C230" s="180"/>
      <c r="D230" s="180"/>
      <c r="E230" s="180"/>
      <c r="F230" s="180"/>
      <c r="G230" s="181"/>
      <c r="H230" s="41">
        <v>1.31</v>
      </c>
    </row>
    <row r="232" spans="1:8" ht="12.75">
      <c r="A232" s="173" t="s">
        <v>258</v>
      </c>
      <c r="B232" s="174"/>
      <c r="C232" s="174"/>
      <c r="D232" s="174"/>
      <c r="E232" s="174"/>
      <c r="F232" s="174"/>
      <c r="G232" s="174"/>
      <c r="H232" s="174"/>
    </row>
    <row r="234" spans="1:18" ht="38.25" customHeight="1">
      <c r="A234" s="171" t="s">
        <v>222</v>
      </c>
      <c r="B234" s="171"/>
      <c r="C234" s="171"/>
      <c r="D234" s="171"/>
      <c r="E234" s="171"/>
      <c r="F234" s="171"/>
      <c r="G234" s="172"/>
      <c r="H234" s="41">
        <v>4.86</v>
      </c>
      <c r="R234">
        <f>H234/17.77</f>
        <v>0.2734946539110861</v>
      </c>
    </row>
    <row r="237" ht="12.75">
      <c r="R237">
        <f>H234/24.39</f>
        <v>0.19926199261992622</v>
      </c>
    </row>
    <row r="238" ht="12.75">
      <c r="G238" s="1">
        <f>19.62*0.27</f>
        <v>5.2974000000000006</v>
      </c>
    </row>
  </sheetData>
  <sheetProtection/>
  <mergeCells count="40">
    <mergeCell ref="A63:B63"/>
    <mergeCell ref="C63:H63"/>
    <mergeCell ref="A1:B1"/>
    <mergeCell ref="K3:M3"/>
    <mergeCell ref="A11:H11"/>
    <mergeCell ref="A13:B13"/>
    <mergeCell ref="C13:H13"/>
    <mergeCell ref="A27:B27"/>
    <mergeCell ref="C27:H27"/>
    <mergeCell ref="A40:B40"/>
    <mergeCell ref="C40:H40"/>
    <mergeCell ref="A54:B54"/>
    <mergeCell ref="C54:H54"/>
    <mergeCell ref="A133:B133"/>
    <mergeCell ref="C133:H133"/>
    <mergeCell ref="A76:B76"/>
    <mergeCell ref="C76:H76"/>
    <mergeCell ref="A89:H89"/>
    <mergeCell ref="A92:H92"/>
    <mergeCell ref="A94:B94"/>
    <mergeCell ref="A187:B187"/>
    <mergeCell ref="C187:H187"/>
    <mergeCell ref="A230:G230"/>
    <mergeCell ref="A232:H232"/>
    <mergeCell ref="C94:H94"/>
    <mergeCell ref="A107:B107"/>
    <mergeCell ref="C107:H107"/>
    <mergeCell ref="A117:B117"/>
    <mergeCell ref="C117:H117"/>
    <mergeCell ref="C143:H143"/>
    <mergeCell ref="A234:G234"/>
    <mergeCell ref="A90:F90"/>
    <mergeCell ref="A196:H196"/>
    <mergeCell ref="A203:H203"/>
    <mergeCell ref="A210:H210"/>
    <mergeCell ref="B225:D225"/>
    <mergeCell ref="A228:H228"/>
    <mergeCell ref="A143:B143"/>
    <mergeCell ref="A178:B178"/>
    <mergeCell ref="C178:H178"/>
  </mergeCells>
  <printOptions horizontalCentered="1"/>
  <pageMargins left="0.7874015748031497" right="0.3937007874015748" top="0.7874015748031497" bottom="0.7874015748031497" header="0.11811023622047245" footer="0.11811023622047245"/>
  <pageSetup fitToHeight="6" horizontalDpi="600" verticalDpi="600" orientation="portrait" paperSize="9" scale="71" r:id="rId1"/>
  <rowBreaks count="4" manualBreakCount="4">
    <brk id="39" max="7" man="1"/>
    <brk id="88" max="7" man="1"/>
    <brk id="177" max="7" man="1"/>
    <brk id="20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B238"/>
  <sheetViews>
    <sheetView view="pageBreakPreview" zoomScale="85" zoomScaleNormal="70" zoomScaleSheetLayoutView="85" zoomScalePageLayoutView="0" workbookViewId="0" topLeftCell="A1">
      <selection activeCell="A13" sqref="A13:B13"/>
    </sheetView>
  </sheetViews>
  <sheetFormatPr defaultColWidth="9.00390625" defaultRowHeight="12.75" outlineLevelCol="1"/>
  <cols>
    <col min="1" max="1" width="28.625" style="1" customWidth="1"/>
    <col min="2" max="2" width="18.875" style="1" customWidth="1"/>
    <col min="3" max="3" width="18.50390625" style="1" hidden="1" customWidth="1" outlineLevel="1"/>
    <col min="4" max="4" width="16.50390625" style="1" hidden="1" customWidth="1" outlineLevel="1"/>
    <col min="5" max="5" width="27.875" style="1" customWidth="1" collapsed="1"/>
    <col min="6" max="8" width="17.875" style="1" customWidth="1"/>
    <col min="9" max="10" width="0" style="1" hidden="1" customWidth="1" outlineLevel="1"/>
    <col min="11" max="11" width="25.875" style="1" hidden="1" customWidth="1" outlineLevel="1"/>
    <col min="12" max="12" width="20.375" style="1" hidden="1" customWidth="1" outlineLevel="1"/>
    <col min="13" max="13" width="28.00390625" style="1" hidden="1" customWidth="1" outlineLevel="1"/>
    <col min="14" max="16" width="0" style="1" hidden="1" customWidth="1" outlineLevel="1"/>
    <col min="17" max="17" width="0" style="0" hidden="1" customWidth="1" outlineLevel="1"/>
    <col min="18" max="18" width="9.125" style="0" customWidth="1" collapsed="1"/>
    <col min="21" max="21" width="9.50390625" style="0" bestFit="1" customWidth="1"/>
  </cols>
  <sheetData>
    <row r="1" spans="1:15" ht="50.25" customHeight="1" thickBot="1">
      <c r="A1" s="177" t="s">
        <v>268</v>
      </c>
      <c r="B1" s="178"/>
      <c r="C1" s="95"/>
      <c r="D1" s="95"/>
      <c r="E1" s="95"/>
      <c r="F1" s="94" t="s">
        <v>111</v>
      </c>
      <c r="G1" s="94"/>
      <c r="H1" s="94"/>
      <c r="J1" s="17" t="s">
        <v>55</v>
      </c>
      <c r="K1" s="17"/>
      <c r="L1" s="17"/>
      <c r="M1" s="17"/>
      <c r="N1" s="18">
        <v>6048</v>
      </c>
      <c r="O1" t="s">
        <v>56</v>
      </c>
    </row>
    <row r="2" spans="1:15" ht="15.75" thickBot="1">
      <c r="A2" s="1" t="s">
        <v>51</v>
      </c>
      <c r="B2" s="1">
        <v>2</v>
      </c>
      <c r="F2" s="25" t="s">
        <v>112</v>
      </c>
      <c r="G2" s="25"/>
      <c r="H2" s="93">
        <f>H25+H38+H51+H60+H74+H87+H105+H115+H131+H141+H176+H185+H194+H201+H208+H226+H230+H90+H234</f>
        <v>14.180888912988284</v>
      </c>
      <c r="J2" t="s">
        <v>57</v>
      </c>
      <c r="K2"/>
      <c r="L2"/>
      <c r="M2"/>
      <c r="N2">
        <v>164.2</v>
      </c>
      <c r="O2" t="s">
        <v>58</v>
      </c>
    </row>
    <row r="3" spans="1:15" ht="13.5" thickBot="1">
      <c r="A3" s="1" t="s">
        <v>52</v>
      </c>
      <c r="B3" s="1">
        <v>3</v>
      </c>
      <c r="J3"/>
      <c r="K3" s="165" t="s">
        <v>59</v>
      </c>
      <c r="L3" s="166"/>
      <c r="M3" s="166"/>
      <c r="N3"/>
      <c r="O3"/>
    </row>
    <row r="4" spans="1:15" ht="27" thickBot="1">
      <c r="A4" s="1" t="s">
        <v>215</v>
      </c>
      <c r="B4" s="1">
        <v>1908.5</v>
      </c>
      <c r="J4"/>
      <c r="K4" s="19" t="s">
        <v>4</v>
      </c>
      <c r="L4" s="19" t="s">
        <v>60</v>
      </c>
      <c r="M4" s="19" t="s">
        <v>61</v>
      </c>
      <c r="N4"/>
      <c r="O4"/>
    </row>
    <row r="5" spans="1:15" ht="13.5" thickBot="1">
      <c r="A5" s="1" t="s">
        <v>216</v>
      </c>
      <c r="B5" s="1">
        <v>1421</v>
      </c>
      <c r="J5"/>
      <c r="K5" s="20">
        <v>1</v>
      </c>
      <c r="L5" s="20">
        <v>1</v>
      </c>
      <c r="M5" s="21">
        <f>SUM(N1/N2)</f>
        <v>36.833130328867234</v>
      </c>
      <c r="N5"/>
      <c r="O5"/>
    </row>
    <row r="6" spans="1:15" ht="27" thickBot="1">
      <c r="A6" s="6" t="s">
        <v>217</v>
      </c>
      <c r="B6" s="1">
        <v>213.14999999999998</v>
      </c>
      <c r="J6"/>
      <c r="K6" s="20">
        <v>2</v>
      </c>
      <c r="L6" s="20">
        <v>1.3</v>
      </c>
      <c r="M6" s="21">
        <f>SUM(M5*L6)</f>
        <v>47.88306942752741</v>
      </c>
      <c r="N6"/>
      <c r="O6"/>
    </row>
    <row r="7" spans="1:19" ht="27" thickBot="1">
      <c r="A7" s="6" t="s">
        <v>218</v>
      </c>
      <c r="B7" s="1">
        <v>1235.5</v>
      </c>
      <c r="J7"/>
      <c r="K7" s="20">
        <v>3</v>
      </c>
      <c r="L7" s="20">
        <v>1.69</v>
      </c>
      <c r="M7" s="21">
        <f>SUM(M5*L7)</f>
        <v>62.24799025578562</v>
      </c>
      <c r="N7"/>
      <c r="O7"/>
      <c r="S7">
        <v>17.77</v>
      </c>
    </row>
    <row r="8" spans="1:23" s="16" customFormat="1" ht="13.5" thickBot="1">
      <c r="A8" s="15" t="s">
        <v>219</v>
      </c>
      <c r="B8" s="15">
        <v>370.65</v>
      </c>
      <c r="C8" s="1"/>
      <c r="D8" s="1"/>
      <c r="E8" s="15"/>
      <c r="F8" s="15"/>
      <c r="G8" s="15"/>
      <c r="H8" s="15"/>
      <c r="I8" s="15"/>
      <c r="J8"/>
      <c r="K8" s="20">
        <v>4</v>
      </c>
      <c r="L8" s="20">
        <v>1.91</v>
      </c>
      <c r="M8" s="21">
        <f>SUM(M5*L8)</f>
        <v>70.35127892813641</v>
      </c>
      <c r="N8"/>
      <c r="O8"/>
      <c r="P8" s="15"/>
      <c r="S8" s="67">
        <f>S7-H2</f>
        <v>3.589111087011716</v>
      </c>
      <c r="W8" s="16">
        <f>B7/B4</f>
        <v>0.6473670421797223</v>
      </c>
    </row>
    <row r="9" spans="1:23" s="16" customFormat="1" ht="13.5" thickBot="1">
      <c r="A9" s="15" t="s">
        <v>220</v>
      </c>
      <c r="B9" s="15">
        <v>864.8500000000001</v>
      </c>
      <c r="C9" s="1"/>
      <c r="D9" s="1"/>
      <c r="E9" s="15"/>
      <c r="F9" s="15"/>
      <c r="G9" s="15"/>
      <c r="H9" s="15"/>
      <c r="I9" s="15"/>
      <c r="J9"/>
      <c r="K9" s="20">
        <v>5</v>
      </c>
      <c r="L9" s="20">
        <v>2.16</v>
      </c>
      <c r="M9" s="21">
        <f>SUM(M5*L9)</f>
        <v>79.55956151035323</v>
      </c>
      <c r="N9"/>
      <c r="O9"/>
      <c r="P9" s="15"/>
      <c r="W9" s="16">
        <f>W8*3817</f>
        <v>2471</v>
      </c>
    </row>
    <row r="10" spans="1:15" ht="13.5" thickBot="1">
      <c r="A10" s="1" t="s">
        <v>221</v>
      </c>
      <c r="B10" s="1">
        <v>349</v>
      </c>
      <c r="J10"/>
      <c r="K10" s="20">
        <v>6</v>
      </c>
      <c r="L10" s="20">
        <v>2.44</v>
      </c>
      <c r="M10" s="21">
        <f>SUM(M5*L10)</f>
        <v>89.87283800243605</v>
      </c>
      <c r="N10"/>
      <c r="O10"/>
    </row>
    <row r="11" spans="1:13" ht="13.5" thickBot="1">
      <c r="A11" s="173" t="s">
        <v>239</v>
      </c>
      <c r="B11" s="174"/>
      <c r="C11" s="174"/>
      <c r="D11" s="174"/>
      <c r="E11" s="174"/>
      <c r="F11" s="174"/>
      <c r="G11" s="174"/>
      <c r="H11" s="174"/>
      <c r="K11" s="20">
        <v>7</v>
      </c>
      <c r="L11" s="20">
        <v>2.76</v>
      </c>
      <c r="M11" s="21">
        <f>SUM(M5*L11)</f>
        <v>101.65943970767356</v>
      </c>
    </row>
    <row r="12" spans="1:13" ht="13.5" thickBot="1">
      <c r="A12" s="7"/>
      <c r="B12" s="8"/>
      <c r="C12" s="8"/>
      <c r="D12" s="8"/>
      <c r="E12" s="8"/>
      <c r="F12" s="8"/>
      <c r="G12" s="8"/>
      <c r="H12" s="8"/>
      <c r="K12" s="20">
        <v>8</v>
      </c>
      <c r="L12" s="20">
        <v>3.12</v>
      </c>
      <c r="M12" s="21">
        <f>SUM(M5*L12)</f>
        <v>114.91936662606578</v>
      </c>
    </row>
    <row r="13" spans="1:15" ht="43.5" customHeight="1" thickBot="1">
      <c r="A13" s="167" t="s">
        <v>236</v>
      </c>
      <c r="B13" s="168"/>
      <c r="C13" s="169" t="s">
        <v>2</v>
      </c>
      <c r="D13" s="170"/>
      <c r="E13" s="170"/>
      <c r="F13" s="170"/>
      <c r="G13" s="170"/>
      <c r="H13" s="170"/>
      <c r="J13"/>
      <c r="K13" s="20">
        <v>9</v>
      </c>
      <c r="L13" s="20">
        <v>3.53</v>
      </c>
      <c r="M13" s="21">
        <f>SUM(M5*L13)</f>
        <v>130.02095006090133</v>
      </c>
      <c r="N13"/>
      <c r="O13"/>
    </row>
    <row r="14" spans="1:15" ht="90.75" customHeight="1" thickBot="1">
      <c r="A14" s="13" t="s">
        <v>3</v>
      </c>
      <c r="B14" s="13" t="s">
        <v>4</v>
      </c>
      <c r="C14" s="13" t="s">
        <v>0</v>
      </c>
      <c r="D14" s="13" t="s">
        <v>1</v>
      </c>
      <c r="E14" s="13" t="s">
        <v>5</v>
      </c>
      <c r="F14" s="14" t="s">
        <v>46</v>
      </c>
      <c r="G14" s="14" t="s">
        <v>225</v>
      </c>
      <c r="H14" s="14" t="s">
        <v>49</v>
      </c>
      <c r="J14"/>
      <c r="K14" s="20">
        <v>10</v>
      </c>
      <c r="L14" s="20">
        <v>3.99</v>
      </c>
      <c r="M14" s="21">
        <f>SUM(M5*L14)</f>
        <v>146.96419001218027</v>
      </c>
      <c r="N14"/>
      <c r="O14"/>
    </row>
    <row r="15" spans="1:15" ht="27" thickBot="1">
      <c r="A15" s="3" t="s">
        <v>53</v>
      </c>
      <c r="B15" s="59">
        <v>2</v>
      </c>
      <c r="C15" s="2">
        <f>B6</f>
        <v>213.14999999999998</v>
      </c>
      <c r="D15" s="26">
        <f>1171*0.99</f>
        <v>1159.29</v>
      </c>
      <c r="E15" s="64">
        <f>C15*D15/1000</f>
        <v>247.10266349999998</v>
      </c>
      <c r="F15" s="64">
        <f>M6</f>
        <v>47.88306942752741</v>
      </c>
      <c r="G15" s="54">
        <f>E15*F15*1.42*1.15*1.302</f>
        <v>25156.86838484185</v>
      </c>
      <c r="H15" s="11"/>
      <c r="J15"/>
      <c r="K15" s="20">
        <v>11</v>
      </c>
      <c r="L15" s="20">
        <v>4.51</v>
      </c>
      <c r="M15" s="21">
        <f>SUM(M5*L15)</f>
        <v>166.11741778319123</v>
      </c>
      <c r="N15"/>
      <c r="O15"/>
    </row>
    <row r="16" spans="1:15" ht="13.5" thickBot="1">
      <c r="A16" s="9" t="s">
        <v>11</v>
      </c>
      <c r="B16" s="10" t="s">
        <v>42</v>
      </c>
      <c r="C16" s="10" t="s">
        <v>0</v>
      </c>
      <c r="D16" s="10" t="s">
        <v>1</v>
      </c>
      <c r="E16" s="65" t="s">
        <v>43</v>
      </c>
      <c r="F16" s="65" t="s">
        <v>47</v>
      </c>
      <c r="G16" s="66" t="s">
        <v>145</v>
      </c>
      <c r="H16" s="12"/>
      <c r="J16"/>
      <c r="K16" s="20">
        <v>12</v>
      </c>
      <c r="L16" s="20">
        <v>5.1</v>
      </c>
      <c r="M16" s="21">
        <f>SUM(M5*L16)</f>
        <v>187.84896467722288</v>
      </c>
      <c r="N16"/>
      <c r="O16"/>
    </row>
    <row r="17" spans="1:15" ht="13.5" thickBot="1">
      <c r="A17" s="4" t="s">
        <v>6</v>
      </c>
      <c r="B17" s="26" t="s">
        <v>62</v>
      </c>
      <c r="C17" s="2">
        <f>B6</f>
        <v>213.14999999999998</v>
      </c>
      <c r="D17" s="5">
        <v>0.85</v>
      </c>
      <c r="E17" s="64">
        <f aca="true" t="shared" si="0" ref="E17:E23">C17*D17/1000</f>
        <v>0.1811775</v>
      </c>
      <c r="F17" s="64">
        <v>145</v>
      </c>
      <c r="G17" s="54">
        <f aca="true" t="shared" si="1" ref="G17:G23">E17*F17</f>
        <v>26.2707375</v>
      </c>
      <c r="H17" s="2"/>
      <c r="J17"/>
      <c r="K17" s="20">
        <v>13</v>
      </c>
      <c r="L17" s="20">
        <v>5.76</v>
      </c>
      <c r="M17" s="21">
        <f>SUM(M5*L17)</f>
        <v>212.15883069427525</v>
      </c>
      <c r="N17"/>
      <c r="O17"/>
    </row>
    <row r="18" spans="1:15" ht="13.5" thickBot="1">
      <c r="A18" s="4" t="s">
        <v>7</v>
      </c>
      <c r="B18" s="26" t="s">
        <v>62</v>
      </c>
      <c r="C18" s="2">
        <f>B6</f>
        <v>213.14999999999998</v>
      </c>
      <c r="D18" s="5">
        <v>10.15</v>
      </c>
      <c r="E18" s="64">
        <f t="shared" si="0"/>
        <v>2.1634724999999997</v>
      </c>
      <c r="F18" s="64">
        <v>84</v>
      </c>
      <c r="G18" s="54">
        <f t="shared" si="1"/>
        <v>181.73169</v>
      </c>
      <c r="H18" s="2"/>
      <c r="J18"/>
      <c r="K18" s="20">
        <v>14</v>
      </c>
      <c r="L18" s="20">
        <v>6.51</v>
      </c>
      <c r="M18" s="21">
        <f>SUM(M5*L18)</f>
        <v>239.78367844092568</v>
      </c>
      <c r="N18"/>
      <c r="O18"/>
    </row>
    <row r="19" spans="1:15" ht="13.5" thickBot="1">
      <c r="A19" s="4" t="s">
        <v>206</v>
      </c>
      <c r="B19" s="26" t="s">
        <v>62</v>
      </c>
      <c r="C19" s="2">
        <f>B6</f>
        <v>213.14999999999998</v>
      </c>
      <c r="D19" s="5">
        <v>0.42</v>
      </c>
      <c r="E19" s="64">
        <f t="shared" si="0"/>
        <v>0.08952299999999998</v>
      </c>
      <c r="F19" s="64">
        <v>64</v>
      </c>
      <c r="G19" s="54">
        <f t="shared" si="1"/>
        <v>5.729471999999999</v>
      </c>
      <c r="H19" s="2"/>
      <c r="J19"/>
      <c r="K19" s="20">
        <v>15</v>
      </c>
      <c r="L19" s="20">
        <v>7.36</v>
      </c>
      <c r="M19" s="21">
        <f>SUM(M5*L19)</f>
        <v>271.0918392204629</v>
      </c>
      <c r="N19"/>
      <c r="O19"/>
    </row>
    <row r="20" spans="1:15" ht="13.5" thickBot="1">
      <c r="A20" s="4" t="s">
        <v>9</v>
      </c>
      <c r="B20" s="26" t="s">
        <v>62</v>
      </c>
      <c r="C20" s="2">
        <f>B6</f>
        <v>213.14999999999998</v>
      </c>
      <c r="D20" s="5">
        <v>0.85</v>
      </c>
      <c r="E20" s="64">
        <f t="shared" si="0"/>
        <v>0.1811775</v>
      </c>
      <c r="F20" s="64">
        <v>83.5</v>
      </c>
      <c r="G20" s="54">
        <f t="shared" si="1"/>
        <v>15.128321249999999</v>
      </c>
      <c r="H20" s="2"/>
      <c r="J20"/>
      <c r="K20" s="20">
        <v>16</v>
      </c>
      <c r="L20" s="20">
        <v>8.17</v>
      </c>
      <c r="M20" s="21">
        <f>SUM(M5*L20)</f>
        <v>300.9266747868453</v>
      </c>
      <c r="N20"/>
      <c r="O20"/>
    </row>
    <row r="21" spans="1:15" ht="13.5" thickBot="1">
      <c r="A21" s="4" t="s">
        <v>207</v>
      </c>
      <c r="B21" s="26" t="s">
        <v>36</v>
      </c>
      <c r="C21" s="2">
        <f>C17</f>
        <v>213.14999999999998</v>
      </c>
      <c r="D21" s="5">
        <v>0.93</v>
      </c>
      <c r="E21" s="64">
        <f t="shared" si="0"/>
        <v>0.1982295</v>
      </c>
      <c r="F21" s="64">
        <v>45</v>
      </c>
      <c r="G21" s="54">
        <f t="shared" si="1"/>
        <v>8.9203275</v>
      </c>
      <c r="H21" s="2"/>
      <c r="J21"/>
      <c r="K21" s="20"/>
      <c r="L21" s="20"/>
      <c r="M21" s="21"/>
      <c r="N21"/>
      <c r="O21"/>
    </row>
    <row r="22" spans="1:15" ht="13.5" thickBot="1">
      <c r="A22" s="4" t="s">
        <v>50</v>
      </c>
      <c r="B22" s="26" t="s">
        <v>36</v>
      </c>
      <c r="C22" s="2">
        <f>C17</f>
        <v>213.14999999999998</v>
      </c>
      <c r="D22" s="5">
        <v>0.82</v>
      </c>
      <c r="E22" s="64">
        <f t="shared" si="0"/>
        <v>0.17478299999999997</v>
      </c>
      <c r="F22" s="64">
        <v>25.5</v>
      </c>
      <c r="G22" s="54">
        <f t="shared" si="1"/>
        <v>4.456966499999999</v>
      </c>
      <c r="H22" s="2"/>
      <c r="J22"/>
      <c r="K22" s="20"/>
      <c r="L22" s="20"/>
      <c r="M22" s="21"/>
      <c r="N22"/>
      <c r="O22"/>
    </row>
    <row r="23" spans="1:15" ht="13.5" thickBot="1">
      <c r="A23" s="4" t="s">
        <v>10</v>
      </c>
      <c r="B23" s="26" t="s">
        <v>62</v>
      </c>
      <c r="C23" s="2">
        <f>B6</f>
        <v>213.14999999999998</v>
      </c>
      <c r="D23" s="5">
        <v>0.85</v>
      </c>
      <c r="E23" s="64">
        <f t="shared" si="0"/>
        <v>0.1811775</v>
      </c>
      <c r="F23" s="64">
        <f>28.06*3.5</f>
        <v>98.21</v>
      </c>
      <c r="G23" s="54">
        <f t="shared" si="1"/>
        <v>17.793442274999997</v>
      </c>
      <c r="H23" s="2"/>
      <c r="J23"/>
      <c r="K23" s="20">
        <v>18</v>
      </c>
      <c r="L23" s="20">
        <v>10.07</v>
      </c>
      <c r="M23" s="21">
        <f>SUM(M5*L23)</f>
        <v>370.9096224116931</v>
      </c>
      <c r="N23"/>
      <c r="O23"/>
    </row>
    <row r="24" spans="1:15" ht="12.75">
      <c r="A24" s="4" t="s">
        <v>209</v>
      </c>
      <c r="B24" s="26"/>
      <c r="C24" s="2"/>
      <c r="D24" s="5"/>
      <c r="E24" s="64"/>
      <c r="F24" s="64"/>
      <c r="G24" s="54">
        <f>E15*спецодежда!G24</f>
        <v>379.6408682558467</v>
      </c>
      <c r="H24" s="2"/>
      <c r="J24"/>
      <c r="K24" s="69"/>
      <c r="L24" s="69"/>
      <c r="M24" s="70"/>
      <c r="N24"/>
      <c r="O24"/>
    </row>
    <row r="25" spans="1:15" ht="15">
      <c r="A25" s="9" t="s">
        <v>48</v>
      </c>
      <c r="B25" s="10"/>
      <c r="C25" s="10"/>
      <c r="D25" s="10"/>
      <c r="E25" s="10"/>
      <c r="F25" s="10"/>
      <c r="G25" s="66">
        <f>G15+G17+G18+G19+G20+G23+G21+G22+G24</f>
        <v>25796.540210122697</v>
      </c>
      <c r="H25" s="41">
        <f>G25/12/B5</f>
        <v>1.5128161042764896</v>
      </c>
      <c r="J25"/>
      <c r="N25"/>
      <c r="O25"/>
    </row>
    <row r="26" spans="10:15" ht="12.75">
      <c r="J26"/>
      <c r="N26"/>
      <c r="O26"/>
    </row>
    <row r="27" spans="1:28" s="1" customFormat="1" ht="28.5" customHeight="1">
      <c r="A27" s="167" t="s">
        <v>238</v>
      </c>
      <c r="B27" s="168"/>
      <c r="C27" s="169" t="s">
        <v>13</v>
      </c>
      <c r="D27" s="170"/>
      <c r="E27" s="170"/>
      <c r="F27" s="170"/>
      <c r="G27" s="170"/>
      <c r="H27" s="170"/>
      <c r="Q27"/>
      <c r="R27"/>
      <c r="S27"/>
      <c r="T27"/>
      <c r="U27"/>
      <c r="V27"/>
      <c r="W27"/>
      <c r="X27"/>
      <c r="Y27"/>
      <c r="Z27"/>
      <c r="AA27"/>
      <c r="AB27"/>
    </row>
    <row r="28" spans="1:28" s="1" customFormat="1" ht="91.5" customHeight="1" thickBot="1">
      <c r="A28" s="13" t="s">
        <v>3</v>
      </c>
      <c r="B28" s="13" t="s">
        <v>4</v>
      </c>
      <c r="C28" s="13" t="s">
        <v>0</v>
      </c>
      <c r="D28" s="13" t="s">
        <v>1</v>
      </c>
      <c r="E28" s="13" t="s">
        <v>5</v>
      </c>
      <c r="F28" s="14" t="s">
        <v>46</v>
      </c>
      <c r="G28" s="14" t="s">
        <v>225</v>
      </c>
      <c r="H28" s="14" t="s">
        <v>49</v>
      </c>
      <c r="Q28"/>
      <c r="R28"/>
      <c r="S28"/>
      <c r="T28"/>
      <c r="U28"/>
      <c r="V28"/>
      <c r="W28"/>
      <c r="X28"/>
      <c r="Y28"/>
      <c r="Z28"/>
      <c r="AA28"/>
      <c r="AB28"/>
    </row>
    <row r="29" spans="1:28" s="1" customFormat="1" ht="13.5" thickBot="1">
      <c r="A29" s="3" t="s">
        <v>14</v>
      </c>
      <c r="B29" s="59">
        <v>1</v>
      </c>
      <c r="C29" s="2">
        <f>$B$8</f>
        <v>370.65</v>
      </c>
      <c r="D29" s="26">
        <f>137.5*0.9</f>
        <v>123.75</v>
      </c>
      <c r="E29" s="64">
        <f>C29*D29/1000</f>
        <v>45.8679375</v>
      </c>
      <c r="F29" s="64">
        <f>M5</f>
        <v>36.833130328867234</v>
      </c>
      <c r="G29" s="54">
        <f>E29*F29*1.42*1.15*1.302</f>
        <v>3592.071814722752</v>
      </c>
      <c r="H29" s="11"/>
      <c r="J29"/>
      <c r="K29" s="20"/>
      <c r="L29" s="20"/>
      <c r="M29" s="21"/>
      <c r="N29"/>
      <c r="O29"/>
      <c r="Q29"/>
      <c r="R29"/>
      <c r="S29"/>
      <c r="T29"/>
      <c r="U29"/>
      <c r="V29"/>
      <c r="W29"/>
      <c r="X29"/>
      <c r="Y29"/>
      <c r="Z29"/>
      <c r="AA29"/>
      <c r="AB29"/>
    </row>
    <row r="30" spans="1:28" s="1" customFormat="1" ht="13.5" thickBot="1">
      <c r="A30" s="9" t="s">
        <v>11</v>
      </c>
      <c r="B30" s="10" t="s">
        <v>42</v>
      </c>
      <c r="C30" s="10" t="s">
        <v>0</v>
      </c>
      <c r="D30" s="10" t="s">
        <v>1</v>
      </c>
      <c r="E30" s="10" t="s">
        <v>43</v>
      </c>
      <c r="F30" s="10" t="s">
        <v>47</v>
      </c>
      <c r="G30" s="12" t="s">
        <v>145</v>
      </c>
      <c r="H30" s="12"/>
      <c r="Q30"/>
      <c r="R30"/>
      <c r="S30"/>
      <c r="T30"/>
      <c r="U30"/>
      <c r="V30"/>
      <c r="W30"/>
      <c r="X30"/>
      <c r="Y30"/>
      <c r="Z30"/>
      <c r="AA30"/>
      <c r="AB30"/>
    </row>
    <row r="31" spans="1:28" s="1" customFormat="1" ht="13.5" thickBot="1">
      <c r="A31" s="4" t="s">
        <v>6</v>
      </c>
      <c r="B31" s="26" t="s">
        <v>62</v>
      </c>
      <c r="C31" s="2">
        <f>C29</f>
        <v>370.65</v>
      </c>
      <c r="D31" s="5">
        <v>0.03</v>
      </c>
      <c r="E31" s="64">
        <f aca="true" t="shared" si="2" ref="E31:E36">C31*D31/1000</f>
        <v>0.0111195</v>
      </c>
      <c r="F31" s="78">
        <f>F17</f>
        <v>145</v>
      </c>
      <c r="G31" s="54">
        <f aca="true" t="shared" si="3" ref="G31:G36">E31*F31</f>
        <v>1.6123275</v>
      </c>
      <c r="H31" s="2"/>
      <c r="J31"/>
      <c r="K31" s="20"/>
      <c r="L31" s="20"/>
      <c r="M31" s="21"/>
      <c r="N31"/>
      <c r="O31"/>
      <c r="Q31"/>
      <c r="R31"/>
      <c r="S31"/>
      <c r="T31"/>
      <c r="U31"/>
      <c r="V31"/>
      <c r="W31"/>
      <c r="X31"/>
      <c r="Y31"/>
      <c r="Z31"/>
      <c r="AA31"/>
      <c r="AB31"/>
    </row>
    <row r="32" spans="1:28" s="1" customFormat="1" ht="13.5" thickBot="1">
      <c r="A32" s="4" t="s">
        <v>15</v>
      </c>
      <c r="B32" s="26" t="s">
        <v>62</v>
      </c>
      <c r="C32" s="2">
        <f>C29</f>
        <v>370.65</v>
      </c>
      <c r="D32" s="5">
        <v>0.03</v>
      </c>
      <c r="E32" s="64">
        <f t="shared" si="2"/>
        <v>0.0111195</v>
      </c>
      <c r="F32" s="78">
        <v>210</v>
      </c>
      <c r="G32" s="54">
        <f t="shared" si="3"/>
        <v>2.335095</v>
      </c>
      <c r="H32" s="2"/>
      <c r="J32"/>
      <c r="K32" s="20"/>
      <c r="L32" s="20"/>
      <c r="M32" s="21"/>
      <c r="N32"/>
      <c r="O32"/>
      <c r="Q32"/>
      <c r="R32"/>
      <c r="S32"/>
      <c r="T32"/>
      <c r="U32"/>
      <c r="V32"/>
      <c r="W32"/>
      <c r="X32"/>
      <c r="Y32"/>
      <c r="Z32"/>
      <c r="AA32"/>
      <c r="AB32"/>
    </row>
    <row r="33" spans="1:28" s="1" customFormat="1" ht="13.5" thickBot="1">
      <c r="A33" s="4" t="s">
        <v>16</v>
      </c>
      <c r="B33" s="26" t="s">
        <v>62</v>
      </c>
      <c r="C33" s="2">
        <f>C29</f>
        <v>370.65</v>
      </c>
      <c r="D33" s="5">
        <v>0.1</v>
      </c>
      <c r="E33" s="64">
        <f t="shared" si="2"/>
        <v>0.037065</v>
      </c>
      <c r="F33" s="78">
        <v>175</v>
      </c>
      <c r="G33" s="54">
        <f t="shared" si="3"/>
        <v>6.486375</v>
      </c>
      <c r="H33" s="2"/>
      <c r="J33"/>
      <c r="K33" s="20"/>
      <c r="L33" s="20"/>
      <c r="M33" s="21"/>
      <c r="N33"/>
      <c r="O33"/>
      <c r="Q33"/>
      <c r="R33"/>
      <c r="S33"/>
      <c r="T33"/>
      <c r="U33"/>
      <c r="V33"/>
      <c r="W33"/>
      <c r="X33"/>
      <c r="Y33"/>
      <c r="Z33"/>
      <c r="AA33"/>
      <c r="AB33"/>
    </row>
    <row r="34" spans="1:28" s="1" customFormat="1" ht="13.5" thickBot="1">
      <c r="A34" s="4" t="s">
        <v>17</v>
      </c>
      <c r="B34" s="26" t="s">
        <v>62</v>
      </c>
      <c r="C34" s="2">
        <f>C29</f>
        <v>370.65</v>
      </c>
      <c r="D34" s="5">
        <v>5.1</v>
      </c>
      <c r="E34" s="64">
        <f t="shared" si="2"/>
        <v>1.8903149999999997</v>
      </c>
      <c r="F34" s="78">
        <v>65</v>
      </c>
      <c r="G34" s="54">
        <f t="shared" si="3"/>
        <v>122.87047499999998</v>
      </c>
      <c r="H34" s="2"/>
      <c r="J34"/>
      <c r="K34" s="20"/>
      <c r="L34" s="20"/>
      <c r="M34" s="21"/>
      <c r="N34"/>
      <c r="O34"/>
      <c r="Q34"/>
      <c r="R34"/>
      <c r="S34"/>
      <c r="T34"/>
      <c r="U34"/>
      <c r="V34"/>
      <c r="W34"/>
      <c r="X34"/>
      <c r="Y34"/>
      <c r="Z34"/>
      <c r="AA34"/>
      <c r="AB34"/>
    </row>
    <row r="35" spans="1:28" s="1" customFormat="1" ht="27" thickBot="1">
      <c r="A35" s="4" t="s">
        <v>18</v>
      </c>
      <c r="B35" s="26" t="s">
        <v>62</v>
      </c>
      <c r="C35" s="2">
        <f>C29</f>
        <v>370.65</v>
      </c>
      <c r="D35" s="5">
        <v>34.8</v>
      </c>
      <c r="E35" s="64">
        <f t="shared" si="2"/>
        <v>12.89862</v>
      </c>
      <c r="F35" s="78">
        <v>19.7</v>
      </c>
      <c r="G35" s="54">
        <f t="shared" si="3"/>
        <v>254.10281399999997</v>
      </c>
      <c r="H35" s="2"/>
      <c r="J35"/>
      <c r="K35" s="20"/>
      <c r="L35" s="20"/>
      <c r="M35" s="21"/>
      <c r="N35"/>
      <c r="O35"/>
      <c r="Q35"/>
      <c r="R35"/>
      <c r="S35"/>
      <c r="T35"/>
      <c r="U35"/>
      <c r="V35"/>
      <c r="W35"/>
      <c r="X35"/>
      <c r="Y35"/>
      <c r="Z35"/>
      <c r="AA35"/>
      <c r="AB35"/>
    </row>
    <row r="36" spans="1:28" s="1" customFormat="1" ht="13.5" thickBot="1">
      <c r="A36" s="4" t="s">
        <v>19</v>
      </c>
      <c r="B36" s="26" t="s">
        <v>62</v>
      </c>
      <c r="C36" s="2">
        <f>C29</f>
        <v>370.65</v>
      </c>
      <c r="D36" s="5">
        <v>0.05</v>
      </c>
      <c r="E36" s="64">
        <f t="shared" si="2"/>
        <v>0.0185325</v>
      </c>
      <c r="F36" s="78">
        <v>2500</v>
      </c>
      <c r="G36" s="54">
        <f t="shared" si="3"/>
        <v>46.331250000000004</v>
      </c>
      <c r="H36" s="2"/>
      <c r="J36"/>
      <c r="K36" s="20"/>
      <c r="L36" s="20"/>
      <c r="M36" s="21"/>
      <c r="N36"/>
      <c r="O36"/>
      <c r="Q36"/>
      <c r="R36"/>
      <c r="S36"/>
      <c r="T36"/>
      <c r="U36"/>
      <c r="V36"/>
      <c r="W36"/>
      <c r="X36"/>
      <c r="Y36"/>
      <c r="Z36"/>
      <c r="AA36"/>
      <c r="AB36"/>
    </row>
    <row r="37" spans="1:28" s="1" customFormat="1" ht="12.75">
      <c r="A37" s="4" t="s">
        <v>209</v>
      </c>
      <c r="B37" s="26"/>
      <c r="C37" s="2"/>
      <c r="D37" s="5"/>
      <c r="E37" s="64"/>
      <c r="F37" s="78"/>
      <c r="G37" s="54">
        <f>E29*спецодежда!G14</f>
        <v>80.81182038883398</v>
      </c>
      <c r="H37" s="2"/>
      <c r="J37"/>
      <c r="K37" s="69"/>
      <c r="L37" s="69"/>
      <c r="M37" s="70"/>
      <c r="N37"/>
      <c r="O37"/>
      <c r="Q37"/>
      <c r="R37"/>
      <c r="S37"/>
      <c r="T37"/>
      <c r="U37"/>
      <c r="V37"/>
      <c r="W37"/>
      <c r="X37"/>
      <c r="Y37"/>
      <c r="Z37"/>
      <c r="AA37"/>
      <c r="AB37"/>
    </row>
    <row r="38" spans="1:28" s="1" customFormat="1" ht="15">
      <c r="A38" s="9" t="s">
        <v>48</v>
      </c>
      <c r="B38" s="10"/>
      <c r="C38" s="10"/>
      <c r="D38" s="10"/>
      <c r="E38" s="10"/>
      <c r="F38" s="10"/>
      <c r="G38" s="66">
        <f>G29+G31+G32+G33+G34+G35+G36+G37</f>
        <v>4106.621971611587</v>
      </c>
      <c r="H38" s="41">
        <f>G38/12/B5</f>
        <v>0.24082934386650168</v>
      </c>
      <c r="J38"/>
      <c r="N38"/>
      <c r="O38"/>
      <c r="Q38"/>
      <c r="R38"/>
      <c r="S38"/>
      <c r="T38"/>
      <c r="U38"/>
      <c r="V38"/>
      <c r="W38"/>
      <c r="X38"/>
      <c r="Y38"/>
      <c r="Z38"/>
      <c r="AA38"/>
      <c r="AB38"/>
    </row>
    <row r="40" spans="1:28" s="1" customFormat="1" ht="20.25" customHeight="1">
      <c r="A40" s="167" t="s">
        <v>240</v>
      </c>
      <c r="B40" s="168"/>
      <c r="C40" s="169" t="s">
        <v>232</v>
      </c>
      <c r="D40" s="170"/>
      <c r="E40" s="170"/>
      <c r="F40" s="170"/>
      <c r="G40" s="170"/>
      <c r="H40" s="170"/>
      <c r="Q40"/>
      <c r="R40"/>
      <c r="S40"/>
      <c r="T40"/>
      <c r="U40"/>
      <c r="V40"/>
      <c r="W40"/>
      <c r="X40"/>
      <c r="Y40"/>
      <c r="Z40"/>
      <c r="AA40"/>
      <c r="AB40"/>
    </row>
    <row r="41" spans="1:28" s="1" customFormat="1" ht="91.5" customHeight="1" thickBot="1">
      <c r="A41" s="13" t="s">
        <v>3</v>
      </c>
      <c r="B41" s="13" t="s">
        <v>4</v>
      </c>
      <c r="C41" s="13" t="s">
        <v>0</v>
      </c>
      <c r="D41" s="13" t="s">
        <v>1</v>
      </c>
      <c r="E41" s="13" t="s">
        <v>5</v>
      </c>
      <c r="F41" s="14" t="s">
        <v>46</v>
      </c>
      <c r="G41" s="14" t="s">
        <v>225</v>
      </c>
      <c r="H41" s="14" t="s">
        <v>49</v>
      </c>
      <c r="Q41"/>
      <c r="R41"/>
      <c r="S41"/>
      <c r="T41"/>
      <c r="U41"/>
      <c r="V41"/>
      <c r="W41"/>
      <c r="X41"/>
      <c r="Y41"/>
      <c r="Z41"/>
      <c r="AA41"/>
      <c r="AB41"/>
    </row>
    <row r="42" spans="1:28" s="1" customFormat="1" ht="13.5" thickBot="1">
      <c r="A42" s="3" t="s">
        <v>14</v>
      </c>
      <c r="B42" s="59">
        <v>1</v>
      </c>
      <c r="C42" s="2">
        <f>B9</f>
        <v>864.8500000000001</v>
      </c>
      <c r="D42" s="26">
        <f>318*0.82</f>
        <v>260.76</v>
      </c>
      <c r="E42" s="64">
        <f>C42*D42/1000</f>
        <v>225.51828600000002</v>
      </c>
      <c r="F42" s="64">
        <f>M5</f>
        <v>36.833130328867234</v>
      </c>
      <c r="G42" s="54">
        <f>E42*F42*1.42*1.15*1.302</f>
        <v>17661.092322827568</v>
      </c>
      <c r="H42" s="11"/>
      <c r="J42"/>
      <c r="K42" s="20"/>
      <c r="L42" s="20"/>
      <c r="M42" s="21"/>
      <c r="N42"/>
      <c r="O42"/>
      <c r="Q42"/>
      <c r="R42"/>
      <c r="S42"/>
      <c r="T42"/>
      <c r="U42"/>
      <c r="V42"/>
      <c r="W42"/>
      <c r="X42"/>
      <c r="Y42"/>
      <c r="Z42"/>
      <c r="AA42"/>
      <c r="AB42"/>
    </row>
    <row r="43" spans="1:28" s="1" customFormat="1" ht="13.5" thickBot="1">
      <c r="A43" s="9" t="s">
        <v>11</v>
      </c>
      <c r="B43" s="10" t="s">
        <v>42</v>
      </c>
      <c r="C43" s="10" t="s">
        <v>0</v>
      </c>
      <c r="D43" s="10" t="s">
        <v>1</v>
      </c>
      <c r="E43" s="10" t="s">
        <v>43</v>
      </c>
      <c r="F43" s="10" t="s">
        <v>47</v>
      </c>
      <c r="G43" s="12" t="s">
        <v>145</v>
      </c>
      <c r="H43" s="12"/>
      <c r="Q43"/>
      <c r="R43"/>
      <c r="S43"/>
      <c r="T43"/>
      <c r="U43"/>
      <c r="V43"/>
      <c r="W43"/>
      <c r="X43"/>
      <c r="Y43"/>
      <c r="Z43"/>
      <c r="AA43"/>
      <c r="AB43"/>
    </row>
    <row r="44" spans="1:28" s="1" customFormat="1" ht="13.5" thickBot="1">
      <c r="A44" s="4" t="s">
        <v>6</v>
      </c>
      <c r="B44" s="26" t="s">
        <v>62</v>
      </c>
      <c r="C44" s="2">
        <f>C42</f>
        <v>864.8500000000001</v>
      </c>
      <c r="D44" s="5">
        <v>0.05</v>
      </c>
      <c r="E44" s="64">
        <f aca="true" t="shared" si="4" ref="E44:E49">C44*D44/1000</f>
        <v>0.04324250000000001</v>
      </c>
      <c r="F44" s="78">
        <f>F31</f>
        <v>145</v>
      </c>
      <c r="G44" s="54">
        <f aca="true" t="shared" si="5" ref="G44:G49">E44*F44</f>
        <v>6.270162500000001</v>
      </c>
      <c r="H44" s="2"/>
      <c r="J44"/>
      <c r="K44" s="20"/>
      <c r="L44" s="20"/>
      <c r="M44" s="21"/>
      <c r="N44"/>
      <c r="O44"/>
      <c r="Q44"/>
      <c r="R44"/>
      <c r="S44"/>
      <c r="T44"/>
      <c r="U44"/>
      <c r="V44"/>
      <c r="W44"/>
      <c r="X44"/>
      <c r="Y44"/>
      <c r="Z44"/>
      <c r="AA44"/>
      <c r="AB44"/>
    </row>
    <row r="45" spans="1:28" s="1" customFormat="1" ht="13.5" thickBot="1">
      <c r="A45" s="4" t="s">
        <v>15</v>
      </c>
      <c r="B45" s="26" t="s">
        <v>62</v>
      </c>
      <c r="C45" s="2">
        <f>C42</f>
        <v>864.8500000000001</v>
      </c>
      <c r="D45" s="5">
        <v>0.05</v>
      </c>
      <c r="E45" s="64">
        <f t="shared" si="4"/>
        <v>0.04324250000000001</v>
      </c>
      <c r="F45" s="78">
        <f>F32</f>
        <v>210</v>
      </c>
      <c r="G45" s="54">
        <f t="shared" si="5"/>
        <v>9.080925000000002</v>
      </c>
      <c r="H45" s="2"/>
      <c r="J45"/>
      <c r="K45" s="20"/>
      <c r="L45" s="20"/>
      <c r="M45" s="21"/>
      <c r="N45"/>
      <c r="O45"/>
      <c r="Q45"/>
      <c r="R45"/>
      <c r="S45"/>
      <c r="T45"/>
      <c r="U45"/>
      <c r="V45"/>
      <c r="W45"/>
      <c r="X45"/>
      <c r="Y45"/>
      <c r="Z45"/>
      <c r="AA45"/>
      <c r="AB45"/>
    </row>
    <row r="46" spans="1:28" s="1" customFormat="1" ht="13.5" thickBot="1">
      <c r="A46" s="4" t="s">
        <v>16</v>
      </c>
      <c r="B46" s="26" t="s">
        <v>62</v>
      </c>
      <c r="C46" s="2">
        <f>C42</f>
        <v>864.8500000000001</v>
      </c>
      <c r="D46" s="5">
        <v>0.16</v>
      </c>
      <c r="E46" s="64">
        <f t="shared" si="4"/>
        <v>0.13837600000000003</v>
      </c>
      <c r="F46" s="78">
        <f>F33</f>
        <v>175</v>
      </c>
      <c r="G46" s="54">
        <f t="shared" si="5"/>
        <v>24.215800000000005</v>
      </c>
      <c r="H46" s="2"/>
      <c r="J46"/>
      <c r="K46" s="20"/>
      <c r="L46" s="20"/>
      <c r="M46" s="21"/>
      <c r="N46"/>
      <c r="O46"/>
      <c r="Q46"/>
      <c r="R46"/>
      <c r="S46"/>
      <c r="T46"/>
      <c r="U46"/>
      <c r="V46"/>
      <c r="W46"/>
      <c r="X46"/>
      <c r="Y46"/>
      <c r="Z46"/>
      <c r="AA46"/>
      <c r="AB46"/>
    </row>
    <row r="47" spans="1:28" s="1" customFormat="1" ht="13.5" thickBot="1">
      <c r="A47" s="4" t="s">
        <v>17</v>
      </c>
      <c r="B47" s="26" t="s">
        <v>62</v>
      </c>
      <c r="C47" s="2">
        <f>C42</f>
        <v>864.8500000000001</v>
      </c>
      <c r="D47" s="5">
        <v>8.51</v>
      </c>
      <c r="E47" s="64">
        <f t="shared" si="4"/>
        <v>7.359873500000001</v>
      </c>
      <c r="F47" s="78">
        <f>F34</f>
        <v>65</v>
      </c>
      <c r="G47" s="54">
        <f t="shared" si="5"/>
        <v>478.39177750000005</v>
      </c>
      <c r="H47" s="2"/>
      <c r="J47"/>
      <c r="K47" s="20"/>
      <c r="L47" s="20"/>
      <c r="M47" s="21"/>
      <c r="N47"/>
      <c r="O47"/>
      <c r="Q47"/>
      <c r="R47"/>
      <c r="S47"/>
      <c r="T47"/>
      <c r="U47"/>
      <c r="V47"/>
      <c r="W47"/>
      <c r="X47"/>
      <c r="Y47"/>
      <c r="Z47"/>
      <c r="AA47"/>
      <c r="AB47"/>
    </row>
    <row r="48" spans="1:28" s="1" customFormat="1" ht="27" thickBot="1">
      <c r="A48" s="4" t="s">
        <v>18</v>
      </c>
      <c r="B48" s="26" t="s">
        <v>62</v>
      </c>
      <c r="C48" s="2">
        <f>C42</f>
        <v>864.8500000000001</v>
      </c>
      <c r="D48" s="5">
        <v>58.63</v>
      </c>
      <c r="E48" s="64">
        <f t="shared" si="4"/>
        <v>50.70615550000001</v>
      </c>
      <c r="F48" s="78">
        <f>F35</f>
        <v>19.7</v>
      </c>
      <c r="G48" s="54">
        <f t="shared" si="5"/>
        <v>998.9112633500001</v>
      </c>
      <c r="H48" s="2"/>
      <c r="J48"/>
      <c r="K48" s="20"/>
      <c r="L48" s="20"/>
      <c r="M48" s="21"/>
      <c r="N48"/>
      <c r="O48"/>
      <c r="Q48"/>
      <c r="R48"/>
      <c r="S48"/>
      <c r="T48"/>
      <c r="U48"/>
      <c r="V48"/>
      <c r="W48"/>
      <c r="X48"/>
      <c r="Y48"/>
      <c r="Z48"/>
      <c r="AA48"/>
      <c r="AB48"/>
    </row>
    <row r="49" spans="1:28" s="1" customFormat="1" ht="13.5" thickBot="1">
      <c r="A49" s="4" t="s">
        <v>19</v>
      </c>
      <c r="B49" s="26" t="s">
        <v>62</v>
      </c>
      <c r="C49" s="2">
        <f>C42</f>
        <v>864.8500000000001</v>
      </c>
      <c r="D49" s="5">
        <v>0.08</v>
      </c>
      <c r="E49" s="64">
        <f t="shared" si="4"/>
        <v>0.06918800000000001</v>
      </c>
      <c r="F49" s="78">
        <v>2500</v>
      </c>
      <c r="G49" s="54">
        <f t="shared" si="5"/>
        <v>172.97000000000003</v>
      </c>
      <c r="H49" s="2"/>
      <c r="J49"/>
      <c r="K49" s="20"/>
      <c r="L49" s="20"/>
      <c r="M49" s="21"/>
      <c r="N49"/>
      <c r="O49"/>
      <c r="Q49"/>
      <c r="R49"/>
      <c r="S49"/>
      <c r="T49"/>
      <c r="U49"/>
      <c r="V49"/>
      <c r="W49"/>
      <c r="X49"/>
      <c r="Y49"/>
      <c r="Z49"/>
      <c r="AA49"/>
      <c r="AB49"/>
    </row>
    <row r="50" spans="1:28" s="1" customFormat="1" ht="13.5" thickBot="1">
      <c r="A50" s="4" t="s">
        <v>209</v>
      </c>
      <c r="B50" s="26"/>
      <c r="C50" s="2"/>
      <c r="D50" s="5"/>
      <c r="E50" s="64"/>
      <c r="F50" s="78"/>
      <c r="G50" s="54">
        <f>E42*спецодежда!G14</f>
        <v>397.32641614046184</v>
      </c>
      <c r="H50" s="2"/>
      <c r="J50"/>
      <c r="K50" s="20"/>
      <c r="L50" s="20"/>
      <c r="M50" s="21"/>
      <c r="N50"/>
      <c r="O50"/>
      <c r="Q50"/>
      <c r="R50"/>
      <c r="S50"/>
      <c r="T50"/>
      <c r="U50"/>
      <c r="V50"/>
      <c r="W50"/>
      <c r="X50"/>
      <c r="Y50"/>
      <c r="Z50"/>
      <c r="AA50"/>
      <c r="AB50"/>
    </row>
    <row r="51" spans="1:28" s="1" customFormat="1" ht="15">
      <c r="A51" s="9" t="s">
        <v>48</v>
      </c>
      <c r="B51" s="10"/>
      <c r="C51" s="10"/>
      <c r="D51" s="10"/>
      <c r="E51" s="10"/>
      <c r="F51" s="10"/>
      <c r="G51" s="66">
        <f>G42+G44+G45+G46+G47+G48+G49+G50</f>
        <v>19748.258667318034</v>
      </c>
      <c r="H51" s="41">
        <f>G51/B5/12</f>
        <v>1.1581197904831124</v>
      </c>
      <c r="J51"/>
      <c r="N51"/>
      <c r="O51"/>
      <c r="Q51"/>
      <c r="R51"/>
      <c r="S51"/>
      <c r="T51"/>
      <c r="U51"/>
      <c r="V51"/>
      <c r="W51"/>
      <c r="X51"/>
      <c r="Y51"/>
      <c r="Z51"/>
      <c r="AA51"/>
      <c r="AB51"/>
    </row>
    <row r="52" spans="1:28" s="1" customFormat="1" ht="12.75">
      <c r="A52" s="22"/>
      <c r="B52" s="23"/>
      <c r="C52" s="23"/>
      <c r="D52" s="24"/>
      <c r="E52" s="23"/>
      <c r="F52" s="23"/>
      <c r="G52" s="23"/>
      <c r="H52" s="23"/>
      <c r="Q52"/>
      <c r="R52"/>
      <c r="S52"/>
      <c r="T52"/>
      <c r="U52"/>
      <c r="V52"/>
      <c r="W52"/>
      <c r="X52"/>
      <c r="Y52"/>
      <c r="Z52"/>
      <c r="AA52"/>
      <c r="AB52"/>
    </row>
    <row r="54" spans="1:28" s="1" customFormat="1" ht="20.25" customHeight="1">
      <c r="A54" s="167" t="s">
        <v>241</v>
      </c>
      <c r="B54" s="168"/>
      <c r="C54" s="169" t="s">
        <v>20</v>
      </c>
      <c r="D54" s="170"/>
      <c r="E54" s="170"/>
      <c r="F54" s="170"/>
      <c r="G54" s="170"/>
      <c r="H54" s="170"/>
      <c r="Q54"/>
      <c r="R54"/>
      <c r="S54"/>
      <c r="T54"/>
      <c r="U54"/>
      <c r="V54"/>
      <c r="W54"/>
      <c r="X54"/>
      <c r="Y54"/>
      <c r="Z54"/>
      <c r="AA54"/>
      <c r="AB54"/>
    </row>
    <row r="55" spans="1:28" s="1" customFormat="1" ht="91.5" customHeight="1" thickBot="1">
      <c r="A55" s="13" t="s">
        <v>3</v>
      </c>
      <c r="B55" s="13" t="s">
        <v>4</v>
      </c>
      <c r="C55" s="13" t="s">
        <v>0</v>
      </c>
      <c r="D55" s="13" t="s">
        <v>1</v>
      </c>
      <c r="E55" s="13" t="s">
        <v>5</v>
      </c>
      <c r="F55" s="14" t="s">
        <v>46</v>
      </c>
      <c r="G55" s="14" t="s">
        <v>225</v>
      </c>
      <c r="H55" s="14" t="s">
        <v>49</v>
      </c>
      <c r="Q55"/>
      <c r="R55"/>
      <c r="S55"/>
      <c r="T55"/>
      <c r="U55"/>
      <c r="V55"/>
      <c r="W55"/>
      <c r="X55"/>
      <c r="Y55"/>
      <c r="Z55"/>
      <c r="AA55"/>
      <c r="AB55"/>
    </row>
    <row r="56" spans="1:28" s="1" customFormat="1" ht="13.5" thickBot="1">
      <c r="A56" s="3" t="s">
        <v>14</v>
      </c>
      <c r="B56" s="59">
        <v>1</v>
      </c>
      <c r="C56" s="2">
        <f>B5</f>
        <v>1421</v>
      </c>
      <c r="D56" s="26">
        <v>9.17</v>
      </c>
      <c r="E56" s="64">
        <f>C56*D56/1000</f>
        <v>13.030569999999999</v>
      </c>
      <c r="F56" s="64">
        <f>M5</f>
        <v>36.833130328867234</v>
      </c>
      <c r="G56" s="54">
        <f>E56*F56*1.42*1.15*1.302</f>
        <v>1020.4675810149922</v>
      </c>
      <c r="H56" s="11"/>
      <c r="J56"/>
      <c r="K56" s="20"/>
      <c r="L56" s="20"/>
      <c r="M56" s="21"/>
      <c r="N56"/>
      <c r="O56"/>
      <c r="Q56"/>
      <c r="R56"/>
      <c r="S56"/>
      <c r="T56"/>
      <c r="U56"/>
      <c r="V56"/>
      <c r="W56"/>
      <c r="X56"/>
      <c r="Y56"/>
      <c r="Z56"/>
      <c r="AA56"/>
      <c r="AB56"/>
    </row>
    <row r="57" spans="1:28" s="1" customFormat="1" ht="13.5" thickBot="1">
      <c r="A57" s="9" t="s">
        <v>11</v>
      </c>
      <c r="B57" s="10" t="s">
        <v>42</v>
      </c>
      <c r="C57" s="10" t="s">
        <v>0</v>
      </c>
      <c r="D57" s="10" t="s">
        <v>1</v>
      </c>
      <c r="E57" s="10" t="s">
        <v>43</v>
      </c>
      <c r="F57" s="10" t="s">
        <v>47</v>
      </c>
      <c r="G57" s="12" t="s">
        <v>145</v>
      </c>
      <c r="H57" s="12"/>
      <c r="Q57"/>
      <c r="R57"/>
      <c r="S57"/>
      <c r="T57"/>
      <c r="U57"/>
      <c r="V57"/>
      <c r="W57"/>
      <c r="X57"/>
      <c r="Y57"/>
      <c r="Z57"/>
      <c r="AA57"/>
      <c r="AB57"/>
    </row>
    <row r="58" spans="1:28" s="1" customFormat="1" ht="27" thickBot="1">
      <c r="A58" s="4" t="s">
        <v>18</v>
      </c>
      <c r="B58" s="26" t="s">
        <v>62</v>
      </c>
      <c r="C58" s="2">
        <f>B5</f>
        <v>1421</v>
      </c>
      <c r="D58" s="5">
        <v>1.7</v>
      </c>
      <c r="E58" s="64">
        <f>C58*D58/1000</f>
        <v>2.4156999999999997</v>
      </c>
      <c r="F58" s="78">
        <f>F35</f>
        <v>19.7</v>
      </c>
      <c r="G58" s="54">
        <f>E58*F58</f>
        <v>47.58928999999999</v>
      </c>
      <c r="H58" s="2"/>
      <c r="J58"/>
      <c r="K58" s="20"/>
      <c r="L58" s="20"/>
      <c r="M58" s="21"/>
      <c r="N58"/>
      <c r="O58"/>
      <c r="Q58"/>
      <c r="R58"/>
      <c r="S58"/>
      <c r="T58"/>
      <c r="U58"/>
      <c r="V58"/>
      <c r="W58"/>
      <c r="X58"/>
      <c r="Y58"/>
      <c r="Z58"/>
      <c r="AA58"/>
      <c r="AB58"/>
    </row>
    <row r="59" spans="1:28" s="1" customFormat="1" ht="13.5" thickBot="1">
      <c r="A59" s="4" t="s">
        <v>209</v>
      </c>
      <c r="B59" s="26"/>
      <c r="C59" s="2"/>
      <c r="D59" s="5"/>
      <c r="E59" s="64"/>
      <c r="F59" s="78"/>
      <c r="G59" s="54">
        <f>E56*спецодежда!G14</f>
        <v>22.957737796780776</v>
      </c>
      <c r="H59" s="2"/>
      <c r="J59"/>
      <c r="K59" s="20"/>
      <c r="L59" s="20"/>
      <c r="M59" s="21"/>
      <c r="N59"/>
      <c r="O59"/>
      <c r="Q59"/>
      <c r="R59"/>
      <c r="S59"/>
      <c r="T59"/>
      <c r="U59"/>
      <c r="V59"/>
      <c r="W59"/>
      <c r="X59"/>
      <c r="Y59"/>
      <c r="Z59"/>
      <c r="AA59"/>
      <c r="AB59"/>
    </row>
    <row r="60" spans="1:28" s="1" customFormat="1" ht="15">
      <c r="A60" s="9" t="s">
        <v>48</v>
      </c>
      <c r="B60" s="10"/>
      <c r="C60" s="10"/>
      <c r="D60" s="10"/>
      <c r="E60" s="10"/>
      <c r="F60" s="10"/>
      <c r="G60" s="66">
        <f>G56+G58+G59</f>
        <v>1091.0146088117729</v>
      </c>
      <c r="H60" s="41">
        <f>G60/B5/12</f>
        <v>0.06398162144099066</v>
      </c>
      <c r="J60"/>
      <c r="N60"/>
      <c r="O60"/>
      <c r="Q60"/>
      <c r="R60"/>
      <c r="S60"/>
      <c r="T60"/>
      <c r="U60"/>
      <c r="V60"/>
      <c r="W60"/>
      <c r="X60"/>
      <c r="Y60"/>
      <c r="Z60"/>
      <c r="AA60"/>
      <c r="AB60"/>
    </row>
    <row r="63" spans="1:28" s="1" customFormat="1" ht="28.5" customHeight="1">
      <c r="A63" s="167" t="s">
        <v>242</v>
      </c>
      <c r="B63" s="168"/>
      <c r="C63" s="169" t="s">
        <v>24</v>
      </c>
      <c r="D63" s="170"/>
      <c r="E63" s="170"/>
      <c r="F63" s="170"/>
      <c r="G63" s="170"/>
      <c r="H63" s="170"/>
      <c r="Q63"/>
      <c r="R63"/>
      <c r="S63"/>
      <c r="T63"/>
      <c r="U63"/>
      <c r="V63"/>
      <c r="W63"/>
      <c r="X63"/>
      <c r="Y63"/>
      <c r="Z63"/>
      <c r="AA63"/>
      <c r="AB63"/>
    </row>
    <row r="64" spans="1:28" s="1" customFormat="1" ht="91.5" customHeight="1" thickBot="1">
      <c r="A64" s="13" t="s">
        <v>3</v>
      </c>
      <c r="B64" s="13" t="s">
        <v>4</v>
      </c>
      <c r="C64" s="13" t="s">
        <v>0</v>
      </c>
      <c r="D64" s="13" t="s">
        <v>1</v>
      </c>
      <c r="E64" s="13" t="s">
        <v>5</v>
      </c>
      <c r="F64" s="14" t="s">
        <v>46</v>
      </c>
      <c r="G64" s="14" t="s">
        <v>225</v>
      </c>
      <c r="H64" s="14" t="s">
        <v>49</v>
      </c>
      <c r="Q64"/>
      <c r="R64"/>
      <c r="S64"/>
      <c r="T64"/>
      <c r="U64"/>
      <c r="V64"/>
      <c r="W64"/>
      <c r="X64"/>
      <c r="Y64"/>
      <c r="Z64"/>
      <c r="AA64"/>
      <c r="AB64"/>
    </row>
    <row r="65" spans="1:28" s="1" customFormat="1" ht="13.5" thickBot="1">
      <c r="A65" s="3" t="s">
        <v>14</v>
      </c>
      <c r="B65" s="59">
        <v>1</v>
      </c>
      <c r="C65" s="2">
        <f>B8</f>
        <v>370.65</v>
      </c>
      <c r="D65" s="26">
        <v>63</v>
      </c>
      <c r="E65" s="64">
        <f>C65*D65/10000</f>
        <v>2.335095</v>
      </c>
      <c r="F65" s="64">
        <f>M5</f>
        <v>36.833130328867234</v>
      </c>
      <c r="G65" s="54">
        <f>E65*F65*1.42*1.15*1.302</f>
        <v>182.86911056770379</v>
      </c>
      <c r="H65" s="11"/>
      <c r="J65"/>
      <c r="K65" s="20"/>
      <c r="L65" s="20"/>
      <c r="M65" s="21"/>
      <c r="N65"/>
      <c r="O65"/>
      <c r="Q65"/>
      <c r="R65"/>
      <c r="S65"/>
      <c r="T65"/>
      <c r="U65"/>
      <c r="V65"/>
      <c r="W65"/>
      <c r="X65"/>
      <c r="Y65"/>
      <c r="Z65"/>
      <c r="AA65"/>
      <c r="AB65"/>
    </row>
    <row r="66" spans="1:28" s="1" customFormat="1" ht="13.5" thickBot="1">
      <c r="A66" s="9" t="s">
        <v>11</v>
      </c>
      <c r="B66" s="10" t="s">
        <v>42</v>
      </c>
      <c r="C66" s="10" t="s">
        <v>0</v>
      </c>
      <c r="D66" s="10" t="s">
        <v>1</v>
      </c>
      <c r="E66" s="10" t="s">
        <v>43</v>
      </c>
      <c r="F66" s="10" t="s">
        <v>47</v>
      </c>
      <c r="G66" s="12" t="s">
        <v>145</v>
      </c>
      <c r="H66" s="12"/>
      <c r="Q66"/>
      <c r="R66"/>
      <c r="S66"/>
      <c r="T66"/>
      <c r="U66"/>
      <c r="V66"/>
      <c r="W66"/>
      <c r="X66"/>
      <c r="Y66"/>
      <c r="Z66"/>
      <c r="AA66"/>
      <c r="AB66"/>
    </row>
    <row r="67" spans="1:28" s="1" customFormat="1" ht="13.5" thickBot="1">
      <c r="A67" s="4" t="s">
        <v>21</v>
      </c>
      <c r="B67" s="26" t="s">
        <v>62</v>
      </c>
      <c r="C67" s="2">
        <f>C65</f>
        <v>370.65</v>
      </c>
      <c r="D67" s="5">
        <v>0.03</v>
      </c>
      <c r="E67" s="64">
        <f aca="true" t="shared" si="6" ref="E67:E72">C67*D67/10000</f>
        <v>0.0011119499999999998</v>
      </c>
      <c r="F67" s="78">
        <v>806</v>
      </c>
      <c r="G67" s="54">
        <f aca="true" t="shared" si="7" ref="G67:G72">E67*F67</f>
        <v>0.8962316999999999</v>
      </c>
      <c r="H67" s="2"/>
      <c r="J67"/>
      <c r="K67" s="20"/>
      <c r="L67" s="20"/>
      <c r="M67" s="21"/>
      <c r="N67"/>
      <c r="O67"/>
      <c r="Q67"/>
      <c r="R67"/>
      <c r="S67"/>
      <c r="T67"/>
      <c r="U67"/>
      <c r="V67"/>
      <c r="W67"/>
      <c r="X67"/>
      <c r="Y67"/>
      <c r="Z67"/>
      <c r="AA67"/>
      <c r="AB67"/>
    </row>
    <row r="68" spans="1:28" s="1" customFormat="1" ht="13.5" thickBot="1">
      <c r="A68" s="4" t="s">
        <v>22</v>
      </c>
      <c r="B68" s="26" t="s">
        <v>62</v>
      </c>
      <c r="C68" s="2">
        <f>C65</f>
        <v>370.65</v>
      </c>
      <c r="D68" s="5">
        <v>0.02</v>
      </c>
      <c r="E68" s="64">
        <f t="shared" si="6"/>
        <v>0.0007413</v>
      </c>
      <c r="F68" s="78">
        <f>F46</f>
        <v>175</v>
      </c>
      <c r="G68" s="54">
        <f t="shared" si="7"/>
        <v>0.1297275</v>
      </c>
      <c r="H68" s="2"/>
      <c r="J68"/>
      <c r="K68" s="20"/>
      <c r="L68" s="20"/>
      <c r="M68" s="21"/>
      <c r="N68"/>
      <c r="O68"/>
      <c r="Q68"/>
      <c r="R68"/>
      <c r="S68"/>
      <c r="T68"/>
      <c r="U68"/>
      <c r="V68"/>
      <c r="W68"/>
      <c r="X68"/>
      <c r="Y68"/>
      <c r="Z68"/>
      <c r="AA68"/>
      <c r="AB68"/>
    </row>
    <row r="69" spans="1:28" s="1" customFormat="1" ht="13.5" thickBot="1">
      <c r="A69" s="4" t="s">
        <v>16</v>
      </c>
      <c r="B69" s="26" t="s">
        <v>62</v>
      </c>
      <c r="C69" s="2">
        <f>C65</f>
        <v>370.65</v>
      </c>
      <c r="D69" s="5">
        <v>0.03</v>
      </c>
      <c r="E69" s="64">
        <f t="shared" si="6"/>
        <v>0.0011119499999999998</v>
      </c>
      <c r="F69" s="78">
        <f>F46</f>
        <v>175</v>
      </c>
      <c r="G69" s="54">
        <f t="shared" si="7"/>
        <v>0.19459124999999997</v>
      </c>
      <c r="H69" s="2"/>
      <c r="J69"/>
      <c r="K69" s="20"/>
      <c r="L69" s="20"/>
      <c r="M69" s="21"/>
      <c r="N69"/>
      <c r="O69"/>
      <c r="Q69"/>
      <c r="R69"/>
      <c r="S69"/>
      <c r="T69"/>
      <c r="U69"/>
      <c r="V69"/>
      <c r="W69"/>
      <c r="X69"/>
      <c r="Y69"/>
      <c r="Z69"/>
      <c r="AA69"/>
      <c r="AB69"/>
    </row>
    <row r="70" spans="1:28" s="1" customFormat="1" ht="13.5" thickBot="1">
      <c r="A70" s="4" t="s">
        <v>17</v>
      </c>
      <c r="B70" s="26" t="s">
        <v>62</v>
      </c>
      <c r="C70" s="2">
        <f>C65</f>
        <v>370.65</v>
      </c>
      <c r="D70" s="5">
        <v>2.23</v>
      </c>
      <c r="E70" s="64">
        <f t="shared" si="6"/>
        <v>0.08265494999999999</v>
      </c>
      <c r="F70" s="78">
        <f>F47</f>
        <v>65</v>
      </c>
      <c r="G70" s="54">
        <f t="shared" si="7"/>
        <v>5.37257175</v>
      </c>
      <c r="H70" s="2"/>
      <c r="J70"/>
      <c r="K70" s="20"/>
      <c r="L70" s="20"/>
      <c r="M70" s="21"/>
      <c r="N70"/>
      <c r="O70"/>
      <c r="Q70"/>
      <c r="R70"/>
      <c r="S70"/>
      <c r="T70"/>
      <c r="U70"/>
      <c r="V70"/>
      <c r="W70"/>
      <c r="X70"/>
      <c r="Y70"/>
      <c r="Z70"/>
      <c r="AA70"/>
      <c r="AB70"/>
    </row>
    <row r="71" spans="1:28" s="1" customFormat="1" ht="13.5" thickBot="1">
      <c r="A71" s="4" t="s">
        <v>23</v>
      </c>
      <c r="B71" s="26" t="s">
        <v>62</v>
      </c>
      <c r="C71" s="2">
        <f>C65</f>
        <v>370.65</v>
      </c>
      <c r="D71" s="5">
        <v>0.03</v>
      </c>
      <c r="E71" s="64">
        <f t="shared" si="6"/>
        <v>0.0011119499999999998</v>
      </c>
      <c r="F71" s="78">
        <v>350</v>
      </c>
      <c r="G71" s="54">
        <f t="shared" si="7"/>
        <v>0.38918249999999993</v>
      </c>
      <c r="H71" s="2"/>
      <c r="J71"/>
      <c r="K71" s="20"/>
      <c r="L71" s="20"/>
      <c r="M71" s="21"/>
      <c r="N71"/>
      <c r="O71"/>
      <c r="Q71"/>
      <c r="R71"/>
      <c r="S71"/>
      <c r="T71"/>
      <c r="U71"/>
      <c r="V71"/>
      <c r="W71"/>
      <c r="X71"/>
      <c r="Y71"/>
      <c r="Z71"/>
      <c r="AA71"/>
      <c r="AB71"/>
    </row>
    <row r="72" spans="1:28" s="1" customFormat="1" ht="13.5" thickBot="1">
      <c r="A72" s="4" t="s">
        <v>19</v>
      </c>
      <c r="B72" s="26" t="s">
        <v>62</v>
      </c>
      <c r="C72" s="2">
        <f>C65</f>
        <v>370.65</v>
      </c>
      <c r="D72" s="5">
        <v>0.02</v>
      </c>
      <c r="E72" s="64">
        <f t="shared" si="6"/>
        <v>0.0007413</v>
      </c>
      <c r="F72" s="78">
        <f>F49</f>
        <v>2500</v>
      </c>
      <c r="G72" s="54">
        <f t="shared" si="7"/>
        <v>1.8532499999999998</v>
      </c>
      <c r="H72" s="2"/>
      <c r="J72"/>
      <c r="K72" s="20"/>
      <c r="L72" s="20"/>
      <c r="M72" s="21"/>
      <c r="N72"/>
      <c r="O72"/>
      <c r="Q72"/>
      <c r="R72"/>
      <c r="S72"/>
      <c r="T72"/>
      <c r="U72"/>
      <c r="V72"/>
      <c r="W72"/>
      <c r="X72"/>
      <c r="Y72"/>
      <c r="Z72"/>
      <c r="AA72"/>
      <c r="AB72"/>
    </row>
    <row r="73" spans="1:28" s="1" customFormat="1" ht="13.5" thickBot="1">
      <c r="A73" s="4" t="s">
        <v>209</v>
      </c>
      <c r="B73" s="26"/>
      <c r="C73" s="2"/>
      <c r="D73" s="5"/>
      <c r="E73" s="64"/>
      <c r="F73" s="78"/>
      <c r="G73" s="54">
        <f>E65*спецодежда!G14</f>
        <v>4.114056310704275</v>
      </c>
      <c r="H73" s="2"/>
      <c r="J73"/>
      <c r="K73" s="20"/>
      <c r="L73" s="20"/>
      <c r="M73" s="21"/>
      <c r="N73"/>
      <c r="O73"/>
      <c r="Q73"/>
      <c r="R73"/>
      <c r="S73"/>
      <c r="T73"/>
      <c r="U73"/>
      <c r="V73"/>
      <c r="W73"/>
      <c r="X73"/>
      <c r="Y73"/>
      <c r="Z73"/>
      <c r="AA73"/>
      <c r="AB73"/>
    </row>
    <row r="74" spans="1:28" s="1" customFormat="1" ht="15">
      <c r="A74" s="9" t="s">
        <v>48</v>
      </c>
      <c r="B74" s="10"/>
      <c r="C74" s="10"/>
      <c r="D74" s="10"/>
      <c r="E74" s="10"/>
      <c r="F74" s="10"/>
      <c r="G74" s="66">
        <f>G65+G67+G68+G69+G70+G71+G72+G73</f>
        <v>195.81872157840806</v>
      </c>
      <c r="H74" s="41">
        <f>G74/B5/12</f>
        <v>0.011483621955102512</v>
      </c>
      <c r="J74"/>
      <c r="N74"/>
      <c r="O74"/>
      <c r="Q74"/>
      <c r="R74"/>
      <c r="S74"/>
      <c r="T74"/>
      <c r="U74"/>
      <c r="V74"/>
      <c r="W74"/>
      <c r="X74"/>
      <c r="Y74"/>
      <c r="Z74"/>
      <c r="AA74"/>
      <c r="AB74"/>
    </row>
    <row r="76" spans="1:28" s="1" customFormat="1" ht="28.5" customHeight="1">
      <c r="A76" s="167" t="s">
        <v>243</v>
      </c>
      <c r="B76" s="168"/>
      <c r="C76" s="169" t="s">
        <v>24</v>
      </c>
      <c r="D76" s="170"/>
      <c r="E76" s="170"/>
      <c r="F76" s="170"/>
      <c r="G76" s="170"/>
      <c r="H76" s="170"/>
      <c r="Q76"/>
      <c r="R76"/>
      <c r="S76"/>
      <c r="T76"/>
      <c r="U76"/>
      <c r="V76"/>
      <c r="W76"/>
      <c r="X76"/>
      <c r="Y76"/>
      <c r="Z76"/>
      <c r="AA76"/>
      <c r="AB76"/>
    </row>
    <row r="77" spans="1:28" s="1" customFormat="1" ht="91.5" customHeight="1" thickBot="1">
      <c r="A77" s="13" t="s">
        <v>3</v>
      </c>
      <c r="B77" s="13" t="s">
        <v>4</v>
      </c>
      <c r="C77" s="13" t="s">
        <v>0</v>
      </c>
      <c r="D77" s="13" t="s">
        <v>1</v>
      </c>
      <c r="E77" s="13" t="s">
        <v>5</v>
      </c>
      <c r="F77" s="14" t="s">
        <v>46</v>
      </c>
      <c r="G77" s="14" t="s">
        <v>225</v>
      </c>
      <c r="H77" s="14" t="s">
        <v>49</v>
      </c>
      <c r="Q77"/>
      <c r="R77"/>
      <c r="S77"/>
      <c r="T77"/>
      <c r="U77"/>
      <c r="V77"/>
      <c r="W77"/>
      <c r="X77"/>
      <c r="Y77"/>
      <c r="Z77"/>
      <c r="AA77"/>
      <c r="AB77"/>
    </row>
    <row r="78" spans="1:28" s="1" customFormat="1" ht="13.5" thickBot="1">
      <c r="A78" s="3" t="s">
        <v>14</v>
      </c>
      <c r="B78" s="59">
        <v>1</v>
      </c>
      <c r="C78" s="2">
        <f>B8</f>
        <v>370.65</v>
      </c>
      <c r="D78" s="26">
        <f>325*0.8</f>
        <v>260</v>
      </c>
      <c r="E78" s="64">
        <f>C78*D78/1000</f>
        <v>96.369</v>
      </c>
      <c r="F78" s="64">
        <f>M5</f>
        <v>36.833130328867234</v>
      </c>
      <c r="G78" s="54">
        <f>E78*F78*1.42*1.15*1.302</f>
        <v>7546.979166286188</v>
      </c>
      <c r="H78" s="11"/>
      <c r="J78"/>
      <c r="K78" s="20"/>
      <c r="L78" s="20"/>
      <c r="M78" s="21"/>
      <c r="N78"/>
      <c r="O78"/>
      <c r="Q78"/>
      <c r="R78"/>
      <c r="S78"/>
      <c r="T78"/>
      <c r="U78"/>
      <c r="V78"/>
      <c r="W78"/>
      <c r="X78"/>
      <c r="Y78"/>
      <c r="Z78"/>
      <c r="AA78"/>
      <c r="AB78"/>
    </row>
    <row r="79" spans="1:28" s="1" customFormat="1" ht="13.5" thickBot="1">
      <c r="A79" s="9" t="s">
        <v>11</v>
      </c>
      <c r="B79" s="10" t="s">
        <v>42</v>
      </c>
      <c r="C79" s="10" t="s">
        <v>0</v>
      </c>
      <c r="D79" s="10" t="s">
        <v>1</v>
      </c>
      <c r="E79" s="10" t="s">
        <v>43</v>
      </c>
      <c r="F79" s="10" t="s">
        <v>47</v>
      </c>
      <c r="G79" s="12" t="s">
        <v>145</v>
      </c>
      <c r="H79" s="12"/>
      <c r="Q79"/>
      <c r="R79"/>
      <c r="S79"/>
      <c r="T79"/>
      <c r="U79"/>
      <c r="V79"/>
      <c r="W79"/>
      <c r="X79"/>
      <c r="Y79"/>
      <c r="Z79"/>
      <c r="AA79"/>
      <c r="AB79"/>
    </row>
    <row r="80" spans="1:28" s="1" customFormat="1" ht="13.5" thickBot="1">
      <c r="A80" s="4" t="s">
        <v>21</v>
      </c>
      <c r="B80" s="26" t="s">
        <v>62</v>
      </c>
      <c r="C80" s="2">
        <f>C78</f>
        <v>370.65</v>
      </c>
      <c r="D80" s="5">
        <v>0.16</v>
      </c>
      <c r="E80" s="64">
        <f aca="true" t="shared" si="8" ref="E80:E85">C80*D80/1000</f>
        <v>0.059303999999999996</v>
      </c>
      <c r="F80" s="78">
        <f aca="true" t="shared" si="9" ref="F80:F85">F67</f>
        <v>806</v>
      </c>
      <c r="G80" s="54">
        <f aca="true" t="shared" si="10" ref="G80:G85">E80*F80</f>
        <v>47.799023999999996</v>
      </c>
      <c r="H80" s="2"/>
      <c r="J80"/>
      <c r="K80" s="20"/>
      <c r="L80" s="20"/>
      <c r="M80" s="21"/>
      <c r="N80"/>
      <c r="O80"/>
      <c r="Q80"/>
      <c r="R80"/>
      <c r="S80"/>
      <c r="T80"/>
      <c r="U80"/>
      <c r="V80"/>
      <c r="W80"/>
      <c r="X80"/>
      <c r="Y80"/>
      <c r="Z80"/>
      <c r="AA80"/>
      <c r="AB80"/>
    </row>
    <row r="81" spans="1:28" s="1" customFormat="1" ht="13.5" thickBot="1">
      <c r="A81" s="4" t="s">
        <v>22</v>
      </c>
      <c r="B81" s="26" t="s">
        <v>62</v>
      </c>
      <c r="C81" s="2">
        <f>C78</f>
        <v>370.65</v>
      </c>
      <c r="D81" s="5">
        <v>0.08</v>
      </c>
      <c r="E81" s="64">
        <f t="shared" si="8"/>
        <v>0.029651999999999998</v>
      </c>
      <c r="F81" s="78">
        <f t="shared" si="9"/>
        <v>175</v>
      </c>
      <c r="G81" s="54">
        <f t="shared" si="10"/>
        <v>5.1891</v>
      </c>
      <c r="H81" s="2"/>
      <c r="J81"/>
      <c r="K81" s="20"/>
      <c r="L81" s="20"/>
      <c r="M81" s="21"/>
      <c r="N81"/>
      <c r="O81"/>
      <c r="Q81"/>
      <c r="R81"/>
      <c r="S81"/>
      <c r="T81"/>
      <c r="U81"/>
      <c r="V81"/>
      <c r="W81"/>
      <c r="X81"/>
      <c r="Y81"/>
      <c r="Z81"/>
      <c r="AA81"/>
      <c r="AB81"/>
    </row>
    <row r="82" spans="1:28" s="1" customFormat="1" ht="13.5" thickBot="1">
      <c r="A82" s="4" t="s">
        <v>16</v>
      </c>
      <c r="B82" s="26" t="s">
        <v>62</v>
      </c>
      <c r="C82" s="2">
        <f>C78</f>
        <v>370.65</v>
      </c>
      <c r="D82" s="5">
        <v>0.16</v>
      </c>
      <c r="E82" s="64">
        <f t="shared" si="8"/>
        <v>0.059303999999999996</v>
      </c>
      <c r="F82" s="78">
        <f t="shared" si="9"/>
        <v>175</v>
      </c>
      <c r="G82" s="54">
        <f t="shared" si="10"/>
        <v>10.3782</v>
      </c>
      <c r="H82" s="2"/>
      <c r="J82"/>
      <c r="K82" s="20"/>
      <c r="L82" s="20"/>
      <c r="M82" s="21"/>
      <c r="N82"/>
      <c r="O82"/>
      <c r="Q82"/>
      <c r="R82"/>
      <c r="S82"/>
      <c r="T82"/>
      <c r="U82"/>
      <c r="V82"/>
      <c r="W82"/>
      <c r="X82"/>
      <c r="Y82"/>
      <c r="Z82"/>
      <c r="AA82"/>
      <c r="AB82"/>
    </row>
    <row r="83" spans="1:28" s="1" customFormat="1" ht="13.5" thickBot="1">
      <c r="A83" s="4" t="s">
        <v>17</v>
      </c>
      <c r="B83" s="26" t="s">
        <v>62</v>
      </c>
      <c r="C83" s="2">
        <f>C78</f>
        <v>370.65</v>
      </c>
      <c r="D83" s="5">
        <v>11.48</v>
      </c>
      <c r="E83" s="64">
        <f t="shared" si="8"/>
        <v>4.255062</v>
      </c>
      <c r="F83" s="78">
        <f t="shared" si="9"/>
        <v>65</v>
      </c>
      <c r="G83" s="54">
        <f t="shared" si="10"/>
        <v>276.57903</v>
      </c>
      <c r="H83" s="2"/>
      <c r="J83"/>
      <c r="K83" s="20"/>
      <c r="L83" s="20"/>
      <c r="M83" s="21"/>
      <c r="N83"/>
      <c r="O83"/>
      <c r="Q83"/>
      <c r="R83"/>
      <c r="S83"/>
      <c r="T83"/>
      <c r="U83"/>
      <c r="V83"/>
      <c r="W83"/>
      <c r="X83"/>
      <c r="Y83"/>
      <c r="Z83"/>
      <c r="AA83"/>
      <c r="AB83"/>
    </row>
    <row r="84" spans="1:28" s="1" customFormat="1" ht="13.5" thickBot="1">
      <c r="A84" s="4" t="s">
        <v>23</v>
      </c>
      <c r="B84" s="26" t="s">
        <v>62</v>
      </c>
      <c r="C84" s="2">
        <f>C78</f>
        <v>370.65</v>
      </c>
      <c r="D84" s="5">
        <v>0.16</v>
      </c>
      <c r="E84" s="64">
        <f t="shared" si="8"/>
        <v>0.059303999999999996</v>
      </c>
      <c r="F84" s="78">
        <f t="shared" si="9"/>
        <v>350</v>
      </c>
      <c r="G84" s="54">
        <f t="shared" si="10"/>
        <v>20.7564</v>
      </c>
      <c r="H84" s="2"/>
      <c r="J84"/>
      <c r="K84" s="20"/>
      <c r="L84" s="20"/>
      <c r="M84" s="21"/>
      <c r="N84"/>
      <c r="O84"/>
      <c r="Q84"/>
      <c r="R84"/>
      <c r="S84"/>
      <c r="T84"/>
      <c r="U84"/>
      <c r="V84"/>
      <c r="W84"/>
      <c r="X84"/>
      <c r="Y84"/>
      <c r="Z84"/>
      <c r="AA84"/>
      <c r="AB84"/>
    </row>
    <row r="85" spans="1:28" s="1" customFormat="1" ht="13.5" thickBot="1">
      <c r="A85" s="4" t="s">
        <v>19</v>
      </c>
      <c r="B85" s="26" t="s">
        <v>62</v>
      </c>
      <c r="C85" s="2">
        <f>C78</f>
        <v>370.65</v>
      </c>
      <c r="D85" s="5">
        <v>0.08</v>
      </c>
      <c r="E85" s="64">
        <f t="shared" si="8"/>
        <v>0.029651999999999998</v>
      </c>
      <c r="F85" s="78">
        <f t="shared" si="9"/>
        <v>2500</v>
      </c>
      <c r="G85" s="54">
        <f t="shared" si="10"/>
        <v>74.13</v>
      </c>
      <c r="H85" s="2"/>
      <c r="J85"/>
      <c r="K85" s="20"/>
      <c r="L85" s="20"/>
      <c r="M85" s="21"/>
      <c r="N85"/>
      <c r="O85"/>
      <c r="Q85"/>
      <c r="R85"/>
      <c r="S85"/>
      <c r="T85"/>
      <c r="U85"/>
      <c r="V85"/>
      <c r="W85"/>
      <c r="X85"/>
      <c r="Y85"/>
      <c r="Z85"/>
      <c r="AA85"/>
      <c r="AB85"/>
    </row>
    <row r="86" spans="1:28" s="1" customFormat="1" ht="13.5" thickBot="1">
      <c r="A86" s="4" t="s">
        <v>209</v>
      </c>
      <c r="B86" s="26"/>
      <c r="C86" s="2"/>
      <c r="D86" s="5"/>
      <c r="E86" s="64"/>
      <c r="F86" s="78"/>
      <c r="G86" s="54">
        <f>E78*спецодежда!G14</f>
        <v>169.78645091795423</v>
      </c>
      <c r="H86" s="2"/>
      <c r="J86"/>
      <c r="K86" s="20"/>
      <c r="L86" s="20"/>
      <c r="M86" s="21"/>
      <c r="N86"/>
      <c r="O86"/>
      <c r="Q86"/>
      <c r="R86"/>
      <c r="S86"/>
      <c r="T86"/>
      <c r="U86"/>
      <c r="V86"/>
      <c r="W86"/>
      <c r="X86"/>
      <c r="Y86"/>
      <c r="Z86"/>
      <c r="AA86"/>
      <c r="AB86"/>
    </row>
    <row r="87" spans="1:28" s="1" customFormat="1" ht="15">
      <c r="A87" s="9" t="s">
        <v>48</v>
      </c>
      <c r="B87" s="10"/>
      <c r="C87" s="10"/>
      <c r="D87" s="10"/>
      <c r="E87" s="10"/>
      <c r="F87" s="10"/>
      <c r="G87" s="66">
        <f>G78+G80+G81+G82+G83+G84+G85+G86</f>
        <v>8151.597371204142</v>
      </c>
      <c r="H87" s="41">
        <f>G87/B5/12</f>
        <v>0.4780434770821102</v>
      </c>
      <c r="J87"/>
      <c r="N87"/>
      <c r="O87"/>
      <c r="Q87"/>
      <c r="R87"/>
      <c r="S87"/>
      <c r="T87"/>
      <c r="U87"/>
      <c r="V87"/>
      <c r="W87"/>
      <c r="X87"/>
      <c r="Y87"/>
      <c r="Z87"/>
      <c r="AA87"/>
      <c r="AB87"/>
    </row>
    <row r="89" spans="1:28" s="1" customFormat="1" ht="12.75">
      <c r="A89" s="173" t="s">
        <v>244</v>
      </c>
      <c r="B89" s="174"/>
      <c r="C89" s="174"/>
      <c r="D89" s="174"/>
      <c r="E89" s="174"/>
      <c r="F89" s="174"/>
      <c r="G89" s="174"/>
      <c r="H89" s="174"/>
      <c r="Q89"/>
      <c r="R89"/>
      <c r="S89"/>
      <c r="T89"/>
      <c r="U89"/>
      <c r="V89"/>
      <c r="W89"/>
      <c r="X89"/>
      <c r="Y89"/>
      <c r="Z89"/>
      <c r="AA89"/>
      <c r="AB89"/>
    </row>
    <row r="90" spans="1:28" s="1" customFormat="1" ht="27.75" customHeight="1">
      <c r="A90" s="171" t="s">
        <v>224</v>
      </c>
      <c r="B90" s="179"/>
      <c r="C90" s="179"/>
      <c r="D90" s="179"/>
      <c r="E90" s="179"/>
      <c r="F90" s="179"/>
      <c r="G90" s="39" t="s">
        <v>116</v>
      </c>
      <c r="H90" s="41">
        <f>(H74+H87)*0.14</f>
        <v>0.06853379386520979</v>
      </c>
      <c r="Q90"/>
      <c r="R90"/>
      <c r="S90"/>
      <c r="T90"/>
      <c r="U90"/>
      <c r="V90"/>
      <c r="W90"/>
      <c r="X90"/>
      <c r="Y90"/>
      <c r="Z90"/>
      <c r="AA90"/>
      <c r="AB90"/>
    </row>
    <row r="92" spans="1:28" s="1" customFormat="1" ht="12.75" customHeight="1">
      <c r="A92" s="173" t="s">
        <v>245</v>
      </c>
      <c r="B92" s="174"/>
      <c r="C92" s="174"/>
      <c r="D92" s="174"/>
      <c r="E92" s="174"/>
      <c r="F92" s="174"/>
      <c r="G92" s="174"/>
      <c r="H92" s="174"/>
      <c r="Q92"/>
      <c r="R92"/>
      <c r="S92"/>
      <c r="T92"/>
      <c r="U92"/>
      <c r="V92"/>
      <c r="W92"/>
      <c r="X92"/>
      <c r="Y92"/>
      <c r="Z92"/>
      <c r="AA92"/>
      <c r="AB92"/>
    </row>
    <row r="94" spans="1:28" s="1" customFormat="1" ht="54.75" customHeight="1">
      <c r="A94" s="167" t="s">
        <v>246</v>
      </c>
      <c r="B94" s="168"/>
      <c r="C94" s="169" t="s">
        <v>233</v>
      </c>
      <c r="D94" s="170"/>
      <c r="E94" s="170"/>
      <c r="F94" s="170"/>
      <c r="G94" s="170"/>
      <c r="H94" s="170"/>
      <c r="Q94"/>
      <c r="R94"/>
      <c r="S94"/>
      <c r="T94"/>
      <c r="U94"/>
      <c r="V94"/>
      <c r="W94"/>
      <c r="X94"/>
      <c r="Y94"/>
      <c r="Z94"/>
      <c r="AA94"/>
      <c r="AB94"/>
    </row>
    <row r="95" spans="1:28" s="1" customFormat="1" ht="91.5" customHeight="1" thickBot="1">
      <c r="A95" s="13" t="s">
        <v>3</v>
      </c>
      <c r="B95" s="13" t="s">
        <v>4</v>
      </c>
      <c r="C95" s="13" t="s">
        <v>0</v>
      </c>
      <c r="D95" s="13" t="s">
        <v>1</v>
      </c>
      <c r="E95" s="13" t="s">
        <v>5</v>
      </c>
      <c r="F95" s="14" t="s">
        <v>46</v>
      </c>
      <c r="G95" s="14" t="s">
        <v>225</v>
      </c>
      <c r="H95" s="14" t="s">
        <v>49</v>
      </c>
      <c r="Q95"/>
      <c r="R95"/>
      <c r="S95"/>
      <c r="T95"/>
      <c r="U95"/>
      <c r="V95"/>
      <c r="W95"/>
      <c r="X95"/>
      <c r="Y95"/>
      <c r="Z95"/>
      <c r="AA95"/>
      <c r="AB95"/>
    </row>
    <row r="96" spans="1:28" s="1" customFormat="1" ht="13.5" thickBot="1">
      <c r="A96" s="3" t="s">
        <v>26</v>
      </c>
      <c r="B96" s="59">
        <v>4</v>
      </c>
      <c r="C96" s="2">
        <f>B5</f>
        <v>1421</v>
      </c>
      <c r="D96" s="26">
        <v>0.03</v>
      </c>
      <c r="E96" s="64">
        <f aca="true" t="shared" si="11" ref="E96:E103">C96*D96/1000</f>
        <v>0.042629999999999994</v>
      </c>
      <c r="F96" s="64">
        <f>M8</f>
        <v>70.35127892813641</v>
      </c>
      <c r="G96" s="54">
        <f>E96*F96*1.42*1.15*1.302</f>
        <v>6.37653134047536</v>
      </c>
      <c r="H96" s="11"/>
      <c r="J96"/>
      <c r="K96" s="20"/>
      <c r="L96" s="20"/>
      <c r="M96" s="21"/>
      <c r="N96"/>
      <c r="O96"/>
      <c r="Q96"/>
      <c r="R96"/>
      <c r="S96"/>
      <c r="T96"/>
      <c r="U96"/>
      <c r="V96"/>
      <c r="W96"/>
      <c r="X96"/>
      <c r="Y96"/>
      <c r="Z96"/>
      <c r="AA96"/>
      <c r="AB96"/>
    </row>
    <row r="97" spans="1:28" s="1" customFormat="1" ht="13.5" thickBot="1">
      <c r="A97" s="3" t="s">
        <v>27</v>
      </c>
      <c r="B97" s="59">
        <v>3</v>
      </c>
      <c r="C97" s="2">
        <f>C96</f>
        <v>1421</v>
      </c>
      <c r="D97" s="26">
        <v>0.09</v>
      </c>
      <c r="E97" s="64">
        <f t="shared" si="11"/>
        <v>0.12789</v>
      </c>
      <c r="F97" s="64">
        <f>M7</f>
        <v>62.24799025578562</v>
      </c>
      <c r="G97" s="54">
        <f>E97*F97*1.42*1.15*1.302</f>
        <v>16.926185285973865</v>
      </c>
      <c r="H97" s="11"/>
      <c r="J97"/>
      <c r="K97" s="20"/>
      <c r="L97" s="20"/>
      <c r="M97" s="21"/>
      <c r="N97"/>
      <c r="O97"/>
      <c r="Q97"/>
      <c r="R97"/>
      <c r="S97"/>
      <c r="T97"/>
      <c r="U97"/>
      <c r="V97"/>
      <c r="W97"/>
      <c r="X97"/>
      <c r="Y97"/>
      <c r="Z97"/>
      <c r="AA97"/>
      <c r="AB97"/>
    </row>
    <row r="98" spans="1:28" s="1" customFormat="1" ht="13.5" thickBot="1">
      <c r="A98" s="3" t="s">
        <v>26</v>
      </c>
      <c r="B98" s="59">
        <v>2</v>
      </c>
      <c r="C98" s="2">
        <f>C96</f>
        <v>1421</v>
      </c>
      <c r="D98" s="26">
        <v>0.06</v>
      </c>
      <c r="E98" s="64">
        <f t="shared" si="11"/>
        <v>0.08525999999999999</v>
      </c>
      <c r="F98" s="64">
        <f>M6</f>
        <v>47.88306942752741</v>
      </c>
      <c r="G98" s="54">
        <f>E98*F98*1.42*1.15*1.302</f>
        <v>8.680095018448135</v>
      </c>
      <c r="H98" s="11"/>
      <c r="J98"/>
      <c r="K98" s="20"/>
      <c r="L98" s="20"/>
      <c r="M98" s="21"/>
      <c r="N98"/>
      <c r="O98"/>
      <c r="Q98"/>
      <c r="R98"/>
      <c r="S98"/>
      <c r="T98"/>
      <c r="U98"/>
      <c r="V98"/>
      <c r="W98"/>
      <c r="X98"/>
      <c r="Y98"/>
      <c r="Z98"/>
      <c r="AA98"/>
      <c r="AB98"/>
    </row>
    <row r="99" spans="1:28" s="1" customFormat="1" ht="13.5" thickBot="1">
      <c r="A99" s="3" t="s">
        <v>26</v>
      </c>
      <c r="B99" s="59">
        <v>1</v>
      </c>
      <c r="C99" s="2">
        <f>C96</f>
        <v>1421</v>
      </c>
      <c r="D99" s="26">
        <v>0.03</v>
      </c>
      <c r="E99" s="64">
        <f t="shared" si="11"/>
        <v>0.042629999999999994</v>
      </c>
      <c r="F99" s="64">
        <f>M5</f>
        <v>36.833130328867234</v>
      </c>
      <c r="G99" s="54">
        <f>E99*F99*1.42*1.15*1.302</f>
        <v>3.338498084018513</v>
      </c>
      <c r="H99" s="11"/>
      <c r="J99"/>
      <c r="K99" s="20"/>
      <c r="L99" s="20"/>
      <c r="M99" s="21"/>
      <c r="N99"/>
      <c r="O99"/>
      <c r="Q99"/>
      <c r="R99"/>
      <c r="S99"/>
      <c r="T99"/>
      <c r="U99"/>
      <c r="V99"/>
      <c r="W99"/>
      <c r="X99"/>
      <c r="Y99"/>
      <c r="Z99"/>
      <c r="AA99"/>
      <c r="AB99"/>
    </row>
    <row r="100" spans="1:28" s="1" customFormat="1" ht="13.5" thickBot="1">
      <c r="A100" s="3" t="s">
        <v>28</v>
      </c>
      <c r="B100" s="59">
        <v>1</v>
      </c>
      <c r="C100" s="2">
        <f>C96</f>
        <v>1421</v>
      </c>
      <c r="D100" s="26">
        <v>0.03</v>
      </c>
      <c r="E100" s="64">
        <f t="shared" si="11"/>
        <v>0.042629999999999994</v>
      </c>
      <c r="F100" s="64">
        <f>M5</f>
        <v>36.833130328867234</v>
      </c>
      <c r="G100" s="54">
        <f>E100*F100*1.42*1.15*1.302</f>
        <v>3.338498084018513</v>
      </c>
      <c r="H100" s="11"/>
      <c r="J100"/>
      <c r="K100" s="20"/>
      <c r="L100" s="20"/>
      <c r="M100" s="21"/>
      <c r="N100"/>
      <c r="O100"/>
      <c r="Q100"/>
      <c r="R100"/>
      <c r="S100"/>
      <c r="T100"/>
      <c r="U100"/>
      <c r="V100"/>
      <c r="W100"/>
      <c r="X100"/>
      <c r="Y100"/>
      <c r="Z100"/>
      <c r="AA100"/>
      <c r="AB100"/>
    </row>
    <row r="101" spans="1:28" s="1" customFormat="1" ht="13.5" thickBot="1">
      <c r="A101" s="9" t="s">
        <v>11</v>
      </c>
      <c r="B101" s="10" t="s">
        <v>42</v>
      </c>
      <c r="C101" s="10" t="s">
        <v>0</v>
      </c>
      <c r="D101" s="10" t="s">
        <v>1</v>
      </c>
      <c r="E101" s="10" t="s">
        <v>43</v>
      </c>
      <c r="F101" s="10" t="s">
        <v>47</v>
      </c>
      <c r="G101" s="12" t="s">
        <v>145</v>
      </c>
      <c r="H101" s="12"/>
      <c r="Q101"/>
      <c r="R101"/>
      <c r="S101"/>
      <c r="T101"/>
      <c r="U101"/>
      <c r="V101"/>
      <c r="W101"/>
      <c r="X101"/>
      <c r="Y101"/>
      <c r="Z101"/>
      <c r="AA101"/>
      <c r="AB101"/>
    </row>
    <row r="102" spans="1:28" s="1" customFormat="1" ht="15.75" thickBot="1">
      <c r="A102" s="4" t="s">
        <v>29</v>
      </c>
      <c r="B102" s="26" t="s">
        <v>44</v>
      </c>
      <c r="C102" s="2">
        <f>C96</f>
        <v>1421</v>
      </c>
      <c r="D102" s="5">
        <v>3.73</v>
      </c>
      <c r="E102" s="64">
        <f t="shared" si="11"/>
        <v>5.30033</v>
      </c>
      <c r="F102" s="78">
        <v>936</v>
      </c>
      <c r="G102" s="54">
        <f>E102*F102</f>
        <v>4961.10888</v>
      </c>
      <c r="H102" s="2"/>
      <c r="J102"/>
      <c r="K102" s="20"/>
      <c r="L102" s="20"/>
      <c r="M102" s="21"/>
      <c r="N102"/>
      <c r="O102"/>
      <c r="Q102"/>
      <c r="R102"/>
      <c r="S102"/>
      <c r="T102"/>
      <c r="U102"/>
      <c r="V102"/>
      <c r="W102"/>
      <c r="X102"/>
      <c r="Y102"/>
      <c r="Z102"/>
      <c r="AA102"/>
      <c r="AB102"/>
    </row>
    <row r="103" spans="1:28" s="1" customFormat="1" ht="13.5" thickBot="1">
      <c r="A103" s="4" t="s">
        <v>144</v>
      </c>
      <c r="B103" s="26" t="s">
        <v>30</v>
      </c>
      <c r="C103" s="2">
        <f>C96</f>
        <v>1421</v>
      </c>
      <c r="D103" s="5">
        <v>0.02</v>
      </c>
      <c r="E103" s="64">
        <f t="shared" si="11"/>
        <v>0.02842</v>
      </c>
      <c r="F103" s="78">
        <v>12000</v>
      </c>
      <c r="G103" s="54">
        <f>E103*F103</f>
        <v>341.04</v>
      </c>
      <c r="H103" s="2"/>
      <c r="J103"/>
      <c r="K103" s="20"/>
      <c r="L103" s="20"/>
      <c r="M103" s="21"/>
      <c r="N103"/>
      <c r="O103"/>
      <c r="Q103"/>
      <c r="R103"/>
      <c r="S103"/>
      <c r="T103"/>
      <c r="U103"/>
      <c r="V103"/>
      <c r="W103"/>
      <c r="X103"/>
      <c r="Y103"/>
      <c r="Z103"/>
      <c r="AA103"/>
      <c r="AB103"/>
    </row>
    <row r="104" spans="1:28" s="1" customFormat="1" ht="13.5" thickBot="1">
      <c r="A104" s="4" t="s">
        <v>209</v>
      </c>
      <c r="B104" s="26"/>
      <c r="C104" s="2"/>
      <c r="D104" s="5"/>
      <c r="E104" s="64"/>
      <c r="F104" s="78"/>
      <c r="G104" s="54">
        <f>(E96+E97+E98+E99+E100)*спецодежда!G14</f>
        <v>0.6008568234708165</v>
      </c>
      <c r="H104" s="2"/>
      <c r="J104"/>
      <c r="K104" s="20"/>
      <c r="L104" s="20"/>
      <c r="M104" s="21"/>
      <c r="N104"/>
      <c r="O104"/>
      <c r="Q104"/>
      <c r="R104"/>
      <c r="S104"/>
      <c r="T104"/>
      <c r="U104"/>
      <c r="V104"/>
      <c r="W104"/>
      <c r="X104"/>
      <c r="Y104"/>
      <c r="Z104"/>
      <c r="AA104"/>
      <c r="AB104"/>
    </row>
    <row r="105" spans="1:28" s="1" customFormat="1" ht="15">
      <c r="A105" s="9" t="s">
        <v>48</v>
      </c>
      <c r="B105" s="10"/>
      <c r="C105" s="10"/>
      <c r="D105" s="10"/>
      <c r="E105" s="10"/>
      <c r="F105" s="10"/>
      <c r="G105" s="66">
        <f>G96+G97+G98+G99+G100+G102+G103+G104</f>
        <v>5341.409544636405</v>
      </c>
      <c r="H105" s="41">
        <f>G105/B5/12</f>
        <v>0.31324240820058674</v>
      </c>
      <c r="J105"/>
      <c r="N105"/>
      <c r="O105"/>
      <c r="Q105"/>
      <c r="R105"/>
      <c r="S105"/>
      <c r="T105"/>
      <c r="U105"/>
      <c r="V105"/>
      <c r="W105"/>
      <c r="X105"/>
      <c r="Y105"/>
      <c r="Z105"/>
      <c r="AA105"/>
      <c r="AB105"/>
    </row>
    <row r="107" spans="1:28" s="1" customFormat="1" ht="45" customHeight="1">
      <c r="A107" s="167" t="s">
        <v>247</v>
      </c>
      <c r="B107" s="168"/>
      <c r="C107" s="169" t="s">
        <v>259</v>
      </c>
      <c r="D107" s="170"/>
      <c r="E107" s="170"/>
      <c r="F107" s="170"/>
      <c r="G107" s="170"/>
      <c r="H107" s="170"/>
      <c r="Q107"/>
      <c r="R107"/>
      <c r="S107"/>
      <c r="T107"/>
      <c r="U107"/>
      <c r="V107"/>
      <c r="W107"/>
      <c r="X107"/>
      <c r="Y107"/>
      <c r="Z107"/>
      <c r="AA107"/>
      <c r="AB107"/>
    </row>
    <row r="108" spans="1:28" s="1" customFormat="1" ht="91.5" customHeight="1" thickBot="1">
      <c r="A108" s="13" t="s">
        <v>3</v>
      </c>
      <c r="B108" s="13" t="s">
        <v>4</v>
      </c>
      <c r="C108" s="13" t="s">
        <v>0</v>
      </c>
      <c r="D108" s="13" t="s">
        <v>1</v>
      </c>
      <c r="E108" s="13" t="s">
        <v>5</v>
      </c>
      <c r="F108" s="14" t="s">
        <v>46</v>
      </c>
      <c r="G108" s="14" t="s">
        <v>225</v>
      </c>
      <c r="H108" s="14" t="s">
        <v>49</v>
      </c>
      <c r="Q108"/>
      <c r="R108"/>
      <c r="S108"/>
      <c r="T108"/>
      <c r="U108"/>
      <c r="V108"/>
      <c r="W108"/>
      <c r="X108"/>
      <c r="Y108"/>
      <c r="Z108"/>
      <c r="AA108"/>
      <c r="AB108"/>
    </row>
    <row r="109" spans="1:28" s="1" customFormat="1" ht="13.5" thickBot="1">
      <c r="A109" s="3" t="s">
        <v>32</v>
      </c>
      <c r="B109" s="59">
        <v>4</v>
      </c>
      <c r="C109" s="2">
        <f>B5</f>
        <v>1421</v>
      </c>
      <c r="D109" s="26">
        <v>2.52</v>
      </c>
      <c r="E109" s="64">
        <f>C109*D109/1000</f>
        <v>3.58092</v>
      </c>
      <c r="F109" s="64">
        <f>M8</f>
        <v>70.35127892813641</v>
      </c>
      <c r="G109" s="54">
        <f>E109*F109*1.42*1.15*1.302</f>
        <v>535.6286325999303</v>
      </c>
      <c r="H109" s="11"/>
      <c r="J109"/>
      <c r="K109" s="20"/>
      <c r="L109" s="20"/>
      <c r="M109" s="21"/>
      <c r="N109"/>
      <c r="O109"/>
      <c r="Q109"/>
      <c r="R109"/>
      <c r="S109"/>
      <c r="T109"/>
      <c r="U109"/>
      <c r="V109"/>
      <c r="W109"/>
      <c r="X109"/>
      <c r="Y109"/>
      <c r="Z109"/>
      <c r="AA109"/>
      <c r="AB109"/>
    </row>
    <row r="110" spans="1:28" s="1" customFormat="1" ht="13.5" thickBot="1">
      <c r="A110" s="9" t="s">
        <v>11</v>
      </c>
      <c r="B110" s="10" t="s">
        <v>42</v>
      </c>
      <c r="C110" s="10" t="s">
        <v>0</v>
      </c>
      <c r="D110" s="10" t="s">
        <v>1</v>
      </c>
      <c r="E110" s="10" t="s">
        <v>43</v>
      </c>
      <c r="F110" s="10" t="s">
        <v>47</v>
      </c>
      <c r="G110" s="12" t="s">
        <v>145</v>
      </c>
      <c r="H110" s="12"/>
      <c r="Q110"/>
      <c r="R110"/>
      <c r="S110"/>
      <c r="T110"/>
      <c r="U110"/>
      <c r="V110"/>
      <c r="W110"/>
      <c r="X110"/>
      <c r="Y110"/>
      <c r="Z110"/>
      <c r="AA110"/>
      <c r="AB110"/>
    </row>
    <row r="111" spans="1:28" s="1" customFormat="1" ht="15.75" thickBot="1">
      <c r="A111" s="4" t="s">
        <v>33</v>
      </c>
      <c r="B111" s="26" t="s">
        <v>45</v>
      </c>
      <c r="C111" s="2">
        <f>C109</f>
        <v>1421</v>
      </c>
      <c r="D111" s="5">
        <v>4.7</v>
      </c>
      <c r="E111" s="64">
        <f>C111*D111/1000</f>
        <v>6.6787</v>
      </c>
      <c r="F111" s="78">
        <v>140</v>
      </c>
      <c r="G111" s="54">
        <f>E111*F111</f>
        <v>935.018</v>
      </c>
      <c r="H111" s="2"/>
      <c r="J111"/>
      <c r="K111" s="20"/>
      <c r="L111" s="20"/>
      <c r="M111" s="21"/>
      <c r="N111"/>
      <c r="O111"/>
      <c r="Q111"/>
      <c r="R111"/>
      <c r="S111"/>
      <c r="T111"/>
      <c r="U111"/>
      <c r="V111"/>
      <c r="W111"/>
      <c r="X111"/>
      <c r="Y111"/>
      <c r="Z111"/>
      <c r="AA111"/>
      <c r="AB111"/>
    </row>
    <row r="112" spans="1:28" s="1" customFormat="1" ht="13.5" thickBot="1">
      <c r="A112" s="4" t="s">
        <v>34</v>
      </c>
      <c r="B112" s="26" t="s">
        <v>36</v>
      </c>
      <c r="C112" s="2">
        <f>C109</f>
        <v>1421</v>
      </c>
      <c r="D112" s="5">
        <v>0.98</v>
      </c>
      <c r="E112" s="64">
        <f>C112*D112/1000</f>
        <v>1.39258</v>
      </c>
      <c r="F112" s="78">
        <v>24.25</v>
      </c>
      <c r="G112" s="54">
        <f>E112*F112</f>
        <v>33.770064999999995</v>
      </c>
      <c r="H112" s="2"/>
      <c r="J112"/>
      <c r="K112" s="20"/>
      <c r="L112" s="20"/>
      <c r="M112" s="21"/>
      <c r="N112"/>
      <c r="O112"/>
      <c r="Q112"/>
      <c r="R112"/>
      <c r="S112"/>
      <c r="T112"/>
      <c r="U112"/>
      <c r="V112"/>
      <c r="W112"/>
      <c r="X112"/>
      <c r="Y112"/>
      <c r="Z112"/>
      <c r="AA112"/>
      <c r="AB112"/>
    </row>
    <row r="113" spans="1:28" s="1" customFormat="1" ht="13.5" thickBot="1">
      <c r="A113" s="4" t="s">
        <v>35</v>
      </c>
      <c r="B113" s="26" t="s">
        <v>37</v>
      </c>
      <c r="C113" s="2">
        <f>C109</f>
        <v>1421</v>
      </c>
      <c r="D113" s="5">
        <v>19.66</v>
      </c>
      <c r="E113" s="64">
        <f>C113*D113/1000</f>
        <v>27.93686</v>
      </c>
      <c r="F113" s="78">
        <v>15</v>
      </c>
      <c r="G113" s="54">
        <f>E113*F113</f>
        <v>419.05289999999997</v>
      </c>
      <c r="H113" s="2"/>
      <c r="J113"/>
      <c r="K113" s="20"/>
      <c r="L113" s="20"/>
      <c r="M113" s="21"/>
      <c r="N113"/>
      <c r="O113"/>
      <c r="Q113"/>
      <c r="R113"/>
      <c r="S113"/>
      <c r="T113"/>
      <c r="U113"/>
      <c r="V113"/>
      <c r="W113"/>
      <c r="X113"/>
      <c r="Y113"/>
      <c r="Z113"/>
      <c r="AA113"/>
      <c r="AB113"/>
    </row>
    <row r="114" spans="1:28" s="1" customFormat="1" ht="13.5" thickBot="1">
      <c r="A114" s="4" t="s">
        <v>209</v>
      </c>
      <c r="B114" s="26"/>
      <c r="C114" s="2"/>
      <c r="D114" s="5"/>
      <c r="E114" s="64"/>
      <c r="F114" s="78"/>
      <c r="G114" s="54">
        <f>E109*спецодежда!G14</f>
        <v>6.308996646443572</v>
      </c>
      <c r="H114" s="2"/>
      <c r="J114"/>
      <c r="K114" s="20"/>
      <c r="L114" s="20"/>
      <c r="M114" s="21"/>
      <c r="N114"/>
      <c r="O114"/>
      <c r="Q114"/>
      <c r="R114"/>
      <c r="S114"/>
      <c r="T114"/>
      <c r="U114"/>
      <c r="V114"/>
      <c r="W114"/>
      <c r="X114"/>
      <c r="Y114"/>
      <c r="Z114"/>
      <c r="AA114"/>
      <c r="AB114"/>
    </row>
    <row r="115" spans="1:28" s="1" customFormat="1" ht="15">
      <c r="A115" s="9" t="s">
        <v>48</v>
      </c>
      <c r="B115" s="10"/>
      <c r="C115" s="10"/>
      <c r="D115" s="10"/>
      <c r="E115" s="10"/>
      <c r="F115" s="10"/>
      <c r="G115" s="66">
        <f>G109+G111+G112+G113+G114</f>
        <v>1929.7785942463738</v>
      </c>
      <c r="H115" s="41">
        <f>G115/B5/12</f>
        <v>0.1131702201645774</v>
      </c>
      <c r="J115"/>
      <c r="N115"/>
      <c r="O115"/>
      <c r="Q115"/>
      <c r="R115"/>
      <c r="S115"/>
      <c r="T115"/>
      <c r="U115"/>
      <c r="V115"/>
      <c r="W115"/>
      <c r="X115"/>
      <c r="Y115"/>
      <c r="Z115"/>
      <c r="AA115"/>
      <c r="AB115"/>
    </row>
    <row r="117" spans="1:28" s="1" customFormat="1" ht="125.25" customHeight="1">
      <c r="A117" s="167" t="s">
        <v>248</v>
      </c>
      <c r="B117" s="168"/>
      <c r="C117" s="169" t="s">
        <v>260</v>
      </c>
      <c r="D117" s="170"/>
      <c r="E117" s="170"/>
      <c r="F117" s="170"/>
      <c r="G117" s="170"/>
      <c r="H117" s="170"/>
      <c r="Q117"/>
      <c r="R117"/>
      <c r="S117"/>
      <c r="T117"/>
      <c r="U117"/>
      <c r="V117"/>
      <c r="W117"/>
      <c r="X117"/>
      <c r="Y117"/>
      <c r="Z117"/>
      <c r="AA117"/>
      <c r="AB117"/>
    </row>
    <row r="118" spans="1:28" s="1" customFormat="1" ht="91.5" customHeight="1" thickBot="1">
      <c r="A118" s="13" t="s">
        <v>3</v>
      </c>
      <c r="B118" s="13" t="s">
        <v>4</v>
      </c>
      <c r="C118" s="13" t="s">
        <v>0</v>
      </c>
      <c r="D118" s="13" t="s">
        <v>1</v>
      </c>
      <c r="E118" s="13" t="s">
        <v>5</v>
      </c>
      <c r="F118" s="14" t="s">
        <v>46</v>
      </c>
      <c r="G118" s="14" t="s">
        <v>225</v>
      </c>
      <c r="H118" s="14" t="s">
        <v>49</v>
      </c>
      <c r="Q118"/>
      <c r="R118"/>
      <c r="S118"/>
      <c r="T118"/>
      <c r="U118"/>
      <c r="V118"/>
      <c r="W118"/>
      <c r="X118"/>
      <c r="Y118"/>
      <c r="Z118"/>
      <c r="AA118"/>
      <c r="AB118"/>
    </row>
    <row r="119" spans="1:28" s="1" customFormat="1" ht="13.5" thickBot="1">
      <c r="A119" s="3" t="s">
        <v>63</v>
      </c>
      <c r="B119" s="59">
        <v>3</v>
      </c>
      <c r="C119" s="2">
        <f>B5</f>
        <v>1421</v>
      </c>
      <c r="D119" s="26">
        <v>2.04</v>
      </c>
      <c r="E119" s="64">
        <f aca="true" t="shared" si="12" ref="E119:E129">C119*D119/1000</f>
        <v>2.8988400000000003</v>
      </c>
      <c r="F119" s="64">
        <f>M7</f>
        <v>62.24799025578562</v>
      </c>
      <c r="G119" s="54">
        <f>E119*F119*1.24*1.15*1.302</f>
        <v>335.02721674021507</v>
      </c>
      <c r="H119" s="11"/>
      <c r="J119"/>
      <c r="K119" s="20"/>
      <c r="L119" s="20"/>
      <c r="M119" s="21"/>
      <c r="N119"/>
      <c r="O119"/>
      <c r="Q119"/>
      <c r="R119"/>
      <c r="S119"/>
      <c r="T119"/>
      <c r="U119"/>
      <c r="V119"/>
      <c r="W119"/>
      <c r="X119"/>
      <c r="Y119"/>
      <c r="Z119"/>
      <c r="AA119"/>
      <c r="AB119"/>
    </row>
    <row r="120" spans="1:28" s="1" customFormat="1" ht="13.5" thickBot="1">
      <c r="A120" s="3" t="s">
        <v>64</v>
      </c>
      <c r="B120" s="59">
        <v>3</v>
      </c>
      <c r="C120" s="2">
        <f>C119</f>
        <v>1421</v>
      </c>
      <c r="D120" s="26">
        <v>0.58</v>
      </c>
      <c r="E120" s="64">
        <f t="shared" si="12"/>
        <v>0.8241799999999999</v>
      </c>
      <c r="F120" s="64">
        <f>M7</f>
        <v>62.24799025578562</v>
      </c>
      <c r="G120" s="54">
        <f>E120*F120*1.42*1.15*1.302</f>
        <v>109.07986073183154</v>
      </c>
      <c r="H120" s="11"/>
      <c r="J120"/>
      <c r="K120" s="20"/>
      <c r="L120" s="20"/>
      <c r="M120" s="21"/>
      <c r="N120"/>
      <c r="O120"/>
      <c r="Q120"/>
      <c r="R120"/>
      <c r="S120"/>
      <c r="T120"/>
      <c r="U120"/>
      <c r="V120"/>
      <c r="W120"/>
      <c r="X120"/>
      <c r="Y120"/>
      <c r="Z120"/>
      <c r="AA120"/>
      <c r="AB120"/>
    </row>
    <row r="121" spans="1:28" s="1" customFormat="1" ht="13.5" thickBot="1">
      <c r="A121" s="3" t="s">
        <v>65</v>
      </c>
      <c r="B121" s="59">
        <v>3</v>
      </c>
      <c r="C121" s="2">
        <f>C119</f>
        <v>1421</v>
      </c>
      <c r="D121" s="26">
        <v>0.16</v>
      </c>
      <c r="E121" s="64">
        <f t="shared" si="12"/>
        <v>0.22736</v>
      </c>
      <c r="F121" s="64">
        <f>M7</f>
        <v>62.24799025578562</v>
      </c>
      <c r="G121" s="54">
        <f>E121*F121*1.42*1.15*1.302</f>
        <v>30.090996063953533</v>
      </c>
      <c r="H121" s="11"/>
      <c r="J121"/>
      <c r="K121" s="20"/>
      <c r="L121" s="20"/>
      <c r="M121" s="21"/>
      <c r="N121"/>
      <c r="O121"/>
      <c r="Q121"/>
      <c r="R121"/>
      <c r="S121"/>
      <c r="T121"/>
      <c r="U121"/>
      <c r="V121"/>
      <c r="W121"/>
      <c r="X121"/>
      <c r="Y121"/>
      <c r="Z121"/>
      <c r="AA121"/>
      <c r="AB121"/>
    </row>
    <row r="122" spans="1:28" s="1" customFormat="1" ht="13.5" thickBot="1">
      <c r="A122" s="9" t="s">
        <v>11</v>
      </c>
      <c r="B122" s="10" t="s">
        <v>42</v>
      </c>
      <c r="C122" s="10" t="s">
        <v>0</v>
      </c>
      <c r="D122" s="10" t="s">
        <v>1</v>
      </c>
      <c r="E122" s="10" t="s">
        <v>43</v>
      </c>
      <c r="F122" s="10" t="s">
        <v>47</v>
      </c>
      <c r="G122" s="12" t="s">
        <v>145</v>
      </c>
      <c r="H122" s="12"/>
      <c r="Q122"/>
      <c r="R122"/>
      <c r="S122"/>
      <c r="T122"/>
      <c r="U122"/>
      <c r="V122"/>
      <c r="W122"/>
      <c r="X122"/>
      <c r="Y122"/>
      <c r="Z122"/>
      <c r="AA122"/>
      <c r="AB122"/>
    </row>
    <row r="123" spans="1:28" s="1" customFormat="1" ht="13.5" thickBot="1">
      <c r="A123" s="4" t="s">
        <v>66</v>
      </c>
      <c r="B123" s="26" t="s">
        <v>69</v>
      </c>
      <c r="C123" s="2">
        <f>C119</f>
        <v>1421</v>
      </c>
      <c r="D123" s="5">
        <v>0.09</v>
      </c>
      <c r="E123" s="64">
        <f t="shared" si="12"/>
        <v>0.12789</v>
      </c>
      <c r="F123" s="78">
        <v>53.35</v>
      </c>
      <c r="G123" s="54">
        <f>E123*F123</f>
        <v>6.8229315</v>
      </c>
      <c r="H123" s="2"/>
      <c r="J123"/>
      <c r="K123" s="20"/>
      <c r="L123" s="20"/>
      <c r="M123" s="21"/>
      <c r="N123"/>
      <c r="O123"/>
      <c r="Q123"/>
      <c r="R123"/>
      <c r="S123"/>
      <c r="T123"/>
      <c r="U123"/>
      <c r="V123"/>
      <c r="W123"/>
      <c r="X123"/>
      <c r="Y123"/>
      <c r="Z123"/>
      <c r="AA123"/>
      <c r="AB123"/>
    </row>
    <row r="124" spans="1:28" s="1" customFormat="1" ht="13.5" thickBot="1">
      <c r="A124" s="4" t="s">
        <v>67</v>
      </c>
      <c r="B124" s="26" t="s">
        <v>62</v>
      </c>
      <c r="C124" s="2">
        <f>C119</f>
        <v>1421</v>
      </c>
      <c r="D124" s="5">
        <v>0.2</v>
      </c>
      <c r="E124" s="64">
        <f t="shared" si="12"/>
        <v>0.2842</v>
      </c>
      <c r="F124" s="78">
        <v>24.25</v>
      </c>
      <c r="G124" s="54">
        <f aca="true" t="shared" si="13" ref="G124:G129">E124*F124</f>
        <v>6.89185</v>
      </c>
      <c r="H124" s="2"/>
      <c r="J124"/>
      <c r="K124" s="20"/>
      <c r="L124" s="20"/>
      <c r="M124" s="21"/>
      <c r="N124"/>
      <c r="O124"/>
      <c r="Q124"/>
      <c r="R124"/>
      <c r="S124"/>
      <c r="T124"/>
      <c r="U124"/>
      <c r="V124"/>
      <c r="W124"/>
      <c r="X124"/>
      <c r="Y124"/>
      <c r="Z124"/>
      <c r="AA124"/>
      <c r="AB124"/>
    </row>
    <row r="125" spans="1:28" s="1" customFormat="1" ht="13.5" thickBot="1">
      <c r="A125" s="4" t="s">
        <v>68</v>
      </c>
      <c r="B125" s="26" t="s">
        <v>62</v>
      </c>
      <c r="C125" s="2">
        <f>C119</f>
        <v>1421</v>
      </c>
      <c r="D125" s="5">
        <v>0.16</v>
      </c>
      <c r="E125" s="64">
        <f t="shared" si="12"/>
        <v>0.22736</v>
      </c>
      <c r="F125" s="78">
        <v>50.4</v>
      </c>
      <c r="G125" s="54">
        <f t="shared" si="13"/>
        <v>11.458944</v>
      </c>
      <c r="H125" s="2"/>
      <c r="J125"/>
      <c r="K125" s="20"/>
      <c r="L125" s="20"/>
      <c r="M125" s="21"/>
      <c r="N125"/>
      <c r="O125"/>
      <c r="Q125"/>
      <c r="R125"/>
      <c r="S125"/>
      <c r="T125"/>
      <c r="U125"/>
      <c r="V125"/>
      <c r="W125"/>
      <c r="X125"/>
      <c r="Y125"/>
      <c r="Z125"/>
      <c r="AA125"/>
      <c r="AB125"/>
    </row>
    <row r="126" spans="1:28" s="1" customFormat="1" ht="13.5" thickBot="1">
      <c r="A126" s="4" t="s">
        <v>226</v>
      </c>
      <c r="B126" s="26" t="s">
        <v>36</v>
      </c>
      <c r="C126" s="2">
        <f>C119</f>
        <v>1421</v>
      </c>
      <c r="D126" s="5">
        <v>0.091</v>
      </c>
      <c r="E126" s="64">
        <f t="shared" si="12"/>
        <v>0.129311</v>
      </c>
      <c r="F126" s="78">
        <v>130.95</v>
      </c>
      <c r="G126" s="54">
        <f t="shared" si="13"/>
        <v>16.93327545</v>
      </c>
      <c r="H126" s="2"/>
      <c r="J126"/>
      <c r="K126" s="20"/>
      <c r="L126" s="20"/>
      <c r="M126" s="21"/>
      <c r="N126"/>
      <c r="O126"/>
      <c r="Q126"/>
      <c r="R126"/>
      <c r="S126"/>
      <c r="T126"/>
      <c r="U126"/>
      <c r="V126"/>
      <c r="W126"/>
      <c r="X126"/>
      <c r="Y126"/>
      <c r="Z126"/>
      <c r="AA126"/>
      <c r="AB126"/>
    </row>
    <row r="127" spans="1:28" s="1" customFormat="1" ht="13.5" thickBot="1">
      <c r="A127" s="4" t="s">
        <v>70</v>
      </c>
      <c r="B127" s="26" t="s">
        <v>73</v>
      </c>
      <c r="C127" s="2">
        <f>C119</f>
        <v>1421</v>
      </c>
      <c r="D127" s="5">
        <v>0.026</v>
      </c>
      <c r="E127" s="64">
        <f t="shared" si="12"/>
        <v>0.036946</v>
      </c>
      <c r="F127" s="78">
        <v>111.55</v>
      </c>
      <c r="G127" s="54">
        <f t="shared" si="13"/>
        <v>4.1213263</v>
      </c>
      <c r="H127" s="2"/>
      <c r="J127"/>
      <c r="K127" s="20"/>
      <c r="L127" s="20"/>
      <c r="M127" s="21"/>
      <c r="N127"/>
      <c r="O127"/>
      <c r="Q127"/>
      <c r="R127"/>
      <c r="S127"/>
      <c r="T127"/>
      <c r="U127"/>
      <c r="V127"/>
      <c r="W127"/>
      <c r="X127"/>
      <c r="Y127"/>
      <c r="Z127"/>
      <c r="AA127"/>
      <c r="AB127"/>
    </row>
    <row r="128" spans="1:28" s="1" customFormat="1" ht="13.5" thickBot="1">
      <c r="A128" s="4" t="s">
        <v>71</v>
      </c>
      <c r="B128" s="26" t="s">
        <v>36</v>
      </c>
      <c r="C128" s="2">
        <f>C119</f>
        <v>1421</v>
      </c>
      <c r="D128" s="5">
        <v>0.009</v>
      </c>
      <c r="E128" s="64">
        <f t="shared" si="12"/>
        <v>0.012789</v>
      </c>
      <c r="F128" s="78">
        <v>159.08</v>
      </c>
      <c r="G128" s="54">
        <f t="shared" si="13"/>
        <v>2.03447412</v>
      </c>
      <c r="H128" s="2"/>
      <c r="J128"/>
      <c r="K128" s="20"/>
      <c r="L128" s="20"/>
      <c r="M128" s="21"/>
      <c r="N128"/>
      <c r="O128"/>
      <c r="Q128"/>
      <c r="R128"/>
      <c r="S128"/>
      <c r="T128"/>
      <c r="U128"/>
      <c r="V128"/>
      <c r="W128"/>
      <c r="X128"/>
      <c r="Y128"/>
      <c r="Z128"/>
      <c r="AA128"/>
      <c r="AB128"/>
    </row>
    <row r="129" spans="1:28" s="1" customFormat="1" ht="13.5" thickBot="1">
      <c r="A129" s="4" t="s">
        <v>72</v>
      </c>
      <c r="B129" s="26" t="s">
        <v>36</v>
      </c>
      <c r="C129" s="2">
        <f>C119</f>
        <v>1421</v>
      </c>
      <c r="D129" s="5">
        <v>0.02</v>
      </c>
      <c r="E129" s="64">
        <f t="shared" si="12"/>
        <v>0.02842</v>
      </c>
      <c r="F129" s="78">
        <v>140</v>
      </c>
      <c r="G129" s="54">
        <f t="shared" si="13"/>
        <v>3.9788</v>
      </c>
      <c r="H129" s="2"/>
      <c r="J129"/>
      <c r="K129" s="20"/>
      <c r="L129" s="20"/>
      <c r="M129" s="21"/>
      <c r="N129"/>
      <c r="O129"/>
      <c r="Q129"/>
      <c r="R129"/>
      <c r="S129"/>
      <c r="T129"/>
      <c r="U129"/>
      <c r="V129"/>
      <c r="W129"/>
      <c r="X129"/>
      <c r="Y129"/>
      <c r="Z129"/>
      <c r="AA129"/>
      <c r="AB129"/>
    </row>
    <row r="130" spans="1:28" s="1" customFormat="1" ht="13.5" thickBot="1">
      <c r="A130" s="4" t="s">
        <v>209</v>
      </c>
      <c r="B130" s="26"/>
      <c r="C130" s="2"/>
      <c r="D130" s="5"/>
      <c r="E130" s="64"/>
      <c r="F130" s="78"/>
      <c r="G130" s="54">
        <f>(E119+E120)*спецодежда!G14+'3 эт. без 2 благоустройства '!E121*спецодежда!G83</f>
        <v>7.27668871100763</v>
      </c>
      <c r="H130" s="2"/>
      <c r="J130"/>
      <c r="K130" s="20"/>
      <c r="L130" s="20"/>
      <c r="M130" s="21"/>
      <c r="N130"/>
      <c r="O130"/>
      <c r="Q130"/>
      <c r="R130"/>
      <c r="S130"/>
      <c r="T130"/>
      <c r="U130"/>
      <c r="V130"/>
      <c r="W130"/>
      <c r="X130"/>
      <c r="Y130"/>
      <c r="Z130"/>
      <c r="AA130"/>
      <c r="AB130"/>
    </row>
    <row r="131" spans="1:15" ht="15">
      <c r="A131" s="9" t="s">
        <v>48</v>
      </c>
      <c r="B131" s="10"/>
      <c r="C131" s="10"/>
      <c r="D131" s="10"/>
      <c r="E131" s="10"/>
      <c r="F131" s="10"/>
      <c r="G131" s="66">
        <f>G119+G120+G121+G123+G124+G125+G126+G127+G128+G129+G130</f>
        <v>533.7163636170077</v>
      </c>
      <c r="H131" s="41">
        <f>G131/B5/12</f>
        <v>0.03129934105190052</v>
      </c>
      <c r="J131"/>
      <c r="N131"/>
      <c r="O131"/>
    </row>
    <row r="132" spans="1:16" s="31" customFormat="1" ht="12.75">
      <c r="A132" s="27"/>
      <c r="B132" s="28"/>
      <c r="C132" s="28"/>
      <c r="D132" s="28"/>
      <c r="E132" s="28"/>
      <c r="F132" s="28"/>
      <c r="G132" s="29"/>
      <c r="H132" s="29"/>
      <c r="I132" s="30"/>
      <c r="J132" s="30"/>
      <c r="K132" s="1"/>
      <c r="L132" s="1"/>
      <c r="M132" s="1"/>
      <c r="N132" s="30"/>
      <c r="O132" s="30"/>
      <c r="P132" s="30"/>
    </row>
    <row r="133" spans="1:8" ht="42" customHeight="1">
      <c r="A133" s="167" t="s">
        <v>261</v>
      </c>
      <c r="B133" s="168"/>
      <c r="C133" s="169" t="s">
        <v>262</v>
      </c>
      <c r="D133" s="170"/>
      <c r="E133" s="170"/>
      <c r="F133" s="170"/>
      <c r="G133" s="170"/>
      <c r="H133" s="170"/>
    </row>
    <row r="134" spans="1:8" ht="91.5" customHeight="1" thickBot="1">
      <c r="A134" s="13" t="s">
        <v>3</v>
      </c>
      <c r="B134" s="13" t="s">
        <v>4</v>
      </c>
      <c r="C134" s="13" t="s">
        <v>0</v>
      </c>
      <c r="D134" s="13" t="s">
        <v>1</v>
      </c>
      <c r="E134" s="13" t="s">
        <v>5</v>
      </c>
      <c r="F134" s="14" t="s">
        <v>46</v>
      </c>
      <c r="G134" s="14" t="s">
        <v>225</v>
      </c>
      <c r="H134" s="14" t="s">
        <v>49</v>
      </c>
    </row>
    <row r="135" spans="1:15" ht="13.5" thickBot="1">
      <c r="A135" s="3" t="s">
        <v>105</v>
      </c>
      <c r="B135" s="59">
        <v>3</v>
      </c>
      <c r="C135" s="2">
        <f>B5</f>
        <v>1421</v>
      </c>
      <c r="D135" s="26">
        <v>0.18</v>
      </c>
      <c r="E135" s="64">
        <f>C135*D135/1000</f>
        <v>0.25578</v>
      </c>
      <c r="F135" s="64">
        <f>M7</f>
        <v>62.24799025578562</v>
      </c>
      <c r="G135" s="54">
        <f>E135*F135*1.42*1.15*1.302</f>
        <v>33.85237057194773</v>
      </c>
      <c r="H135" s="11"/>
      <c r="J135"/>
      <c r="K135" s="20"/>
      <c r="L135" s="20"/>
      <c r="M135" s="21"/>
      <c r="N135"/>
      <c r="O135"/>
    </row>
    <row r="136" spans="1:15" ht="13.5" thickBot="1">
      <c r="A136" s="3" t="s">
        <v>106</v>
      </c>
      <c r="B136" s="59">
        <v>3</v>
      </c>
      <c r="C136" s="2">
        <f>B5</f>
        <v>1421</v>
      </c>
      <c r="D136" s="26">
        <v>0.08</v>
      </c>
      <c r="E136" s="64">
        <f>C136*D136/1000</f>
        <v>0.11368</v>
      </c>
      <c r="F136" s="64">
        <f>M7</f>
        <v>62.24799025578562</v>
      </c>
      <c r="G136" s="54">
        <f>E136*F136*1.42*1.15*1.302</f>
        <v>15.045498031976766</v>
      </c>
      <c r="H136" s="11"/>
      <c r="J136"/>
      <c r="K136" s="20"/>
      <c r="L136" s="20"/>
      <c r="M136" s="21"/>
      <c r="N136"/>
      <c r="O136"/>
    </row>
    <row r="137" spans="1:8" ht="13.5" thickBot="1">
      <c r="A137" s="9" t="s">
        <v>11</v>
      </c>
      <c r="B137" s="10" t="s">
        <v>42</v>
      </c>
      <c r="C137" s="10" t="s">
        <v>0</v>
      </c>
      <c r="D137" s="10" t="s">
        <v>1</v>
      </c>
      <c r="E137" s="10" t="s">
        <v>43</v>
      </c>
      <c r="F137" s="10" t="s">
        <v>47</v>
      </c>
      <c r="G137" s="12" t="s">
        <v>145</v>
      </c>
      <c r="H137" s="12"/>
    </row>
    <row r="138" spans="1:15" ht="15" thickBot="1">
      <c r="A138" s="4" t="s">
        <v>107</v>
      </c>
      <c r="B138" s="26" t="s">
        <v>102</v>
      </c>
      <c r="C138" s="2">
        <f>C135</f>
        <v>1421</v>
      </c>
      <c r="D138" s="5">
        <v>0.002</v>
      </c>
      <c r="E138" s="64">
        <f>C138*D138/1000</f>
        <v>0.002842</v>
      </c>
      <c r="F138" s="78">
        <v>3100</v>
      </c>
      <c r="G138" s="54">
        <f>E138*F138</f>
        <v>8.8102</v>
      </c>
      <c r="H138" s="2"/>
      <c r="J138"/>
      <c r="K138" s="20"/>
      <c r="L138" s="20"/>
      <c r="M138" s="21"/>
      <c r="N138"/>
      <c r="O138"/>
    </row>
    <row r="139" spans="1:15" ht="13.5" thickBot="1">
      <c r="A139" s="4" t="s">
        <v>108</v>
      </c>
      <c r="B139" s="26" t="s">
        <v>36</v>
      </c>
      <c r="C139" s="2">
        <f>C135</f>
        <v>1421</v>
      </c>
      <c r="D139" s="5">
        <v>0.043</v>
      </c>
      <c r="E139" s="64">
        <f>C139*D139/1000</f>
        <v>0.061103</v>
      </c>
      <c r="F139" s="78">
        <v>130</v>
      </c>
      <c r="G139" s="54">
        <f>E139*F139</f>
        <v>7.94339</v>
      </c>
      <c r="H139" s="2"/>
      <c r="J139"/>
      <c r="K139" s="20"/>
      <c r="L139" s="20"/>
      <c r="M139" s="21"/>
      <c r="N139"/>
      <c r="O139"/>
    </row>
    <row r="140" spans="1:15" ht="13.5" thickBot="1">
      <c r="A140" s="4" t="s">
        <v>209</v>
      </c>
      <c r="B140" s="26"/>
      <c r="C140" s="2"/>
      <c r="D140" s="5"/>
      <c r="E140" s="64"/>
      <c r="F140" s="78"/>
      <c r="G140" s="54">
        <f>(E135+E136)*спецодежда!G83</f>
        <v>1.1656694640248952</v>
      </c>
      <c r="H140" s="2"/>
      <c r="J140"/>
      <c r="K140" s="20"/>
      <c r="L140" s="20"/>
      <c r="M140" s="21"/>
      <c r="N140"/>
      <c r="O140"/>
    </row>
    <row r="141" spans="1:15" ht="15">
      <c r="A141" s="9" t="s">
        <v>48</v>
      </c>
      <c r="B141" s="10"/>
      <c r="C141" s="10"/>
      <c r="D141" s="10"/>
      <c r="E141" s="10"/>
      <c r="F141" s="10"/>
      <c r="G141" s="66">
        <f>G135+G136+G138+G139+G140</f>
        <v>66.8171280679494</v>
      </c>
      <c r="H141" s="41">
        <f>G141/B5</f>
        <v>0.04702120201826136</v>
      </c>
      <c r="J141"/>
      <c r="N141"/>
      <c r="O141"/>
    </row>
    <row r="142" spans="1:16" s="31" customFormat="1" ht="12.75">
      <c r="A142" s="27"/>
      <c r="B142" s="28"/>
      <c r="C142" s="28"/>
      <c r="D142" s="28"/>
      <c r="E142" s="28"/>
      <c r="F142" s="28"/>
      <c r="G142" s="29"/>
      <c r="H142" s="29"/>
      <c r="I142" s="30"/>
      <c r="J142" s="30"/>
      <c r="K142" s="1"/>
      <c r="L142" s="1"/>
      <c r="M142" s="1"/>
      <c r="N142" s="30"/>
      <c r="O142" s="30"/>
      <c r="P142" s="30"/>
    </row>
    <row r="143" spans="1:8" ht="42" customHeight="1">
      <c r="A143" s="167" t="s">
        <v>249</v>
      </c>
      <c r="B143" s="168"/>
      <c r="C143" s="175" t="s">
        <v>230</v>
      </c>
      <c r="D143" s="176"/>
      <c r="E143" s="176"/>
      <c r="F143" s="176"/>
      <c r="G143" s="176"/>
      <c r="H143" s="176"/>
    </row>
    <row r="144" spans="1:8" ht="91.5" customHeight="1" thickBot="1">
      <c r="A144" s="13" t="s">
        <v>3</v>
      </c>
      <c r="B144" s="13" t="s">
        <v>4</v>
      </c>
      <c r="C144" s="13" t="s">
        <v>0</v>
      </c>
      <c r="D144" s="13" t="s">
        <v>1</v>
      </c>
      <c r="E144" s="13" t="s">
        <v>5</v>
      </c>
      <c r="F144" s="14" t="s">
        <v>46</v>
      </c>
      <c r="G144" s="14" t="s">
        <v>225</v>
      </c>
      <c r="H144" s="14" t="s">
        <v>49</v>
      </c>
    </row>
    <row r="145" spans="1:15" ht="13.5" thickBot="1">
      <c r="A145" s="3" t="s">
        <v>25</v>
      </c>
      <c r="B145" s="59">
        <v>4</v>
      </c>
      <c r="C145" s="2">
        <f>B5</f>
        <v>1421</v>
      </c>
      <c r="D145" s="26">
        <f>53.5*2.8/4</f>
        <v>37.449999999999996</v>
      </c>
      <c r="E145" s="64">
        <f aca="true" t="shared" si="14" ref="E145:E174">C145*D145/1000</f>
        <v>53.216449999999995</v>
      </c>
      <c r="F145" s="64">
        <f>M8</f>
        <v>70.35127892813641</v>
      </c>
      <c r="G145" s="54">
        <f>E145*F145*1.42*1.15*1.302</f>
        <v>7960.036623360074</v>
      </c>
      <c r="H145" s="11"/>
      <c r="J145"/>
      <c r="K145" s="20"/>
      <c r="L145" s="20"/>
      <c r="M145" s="21"/>
      <c r="N145"/>
      <c r="O145"/>
    </row>
    <row r="146" spans="1:15" ht="13.5" thickBot="1">
      <c r="A146" s="3" t="s">
        <v>74</v>
      </c>
      <c r="B146" s="59">
        <v>2</v>
      </c>
      <c r="C146" s="2">
        <f>C145</f>
        <v>1421</v>
      </c>
      <c r="D146" s="26">
        <f>5.6*2.8/4</f>
        <v>3.9199999999999995</v>
      </c>
      <c r="E146" s="64">
        <f t="shared" si="14"/>
        <v>5.57032</v>
      </c>
      <c r="F146" s="64">
        <f>M6</f>
        <v>47.88306942752741</v>
      </c>
      <c r="G146" s="54">
        <f>E146*F146*1.42*1.15*1.302</f>
        <v>567.0995412052782</v>
      </c>
      <c r="H146" s="11"/>
      <c r="J146"/>
      <c r="K146" s="20"/>
      <c r="L146" s="20"/>
      <c r="M146" s="21"/>
      <c r="N146"/>
      <c r="O146"/>
    </row>
    <row r="147" spans="1:28" s="1" customFormat="1" ht="13.5" thickBot="1">
      <c r="A147" s="9" t="s">
        <v>11</v>
      </c>
      <c r="B147" s="10" t="s">
        <v>42</v>
      </c>
      <c r="C147" s="10" t="s">
        <v>0</v>
      </c>
      <c r="D147" s="10" t="s">
        <v>1</v>
      </c>
      <c r="E147" s="10" t="s">
        <v>43</v>
      </c>
      <c r="F147" s="10" t="s">
        <v>47</v>
      </c>
      <c r="G147" s="12" t="s">
        <v>145</v>
      </c>
      <c r="H147" s="12"/>
      <c r="Q147"/>
      <c r="R147"/>
      <c r="S147"/>
      <c r="T147"/>
      <c r="U147"/>
      <c r="V147"/>
      <c r="W147"/>
      <c r="X147"/>
      <c r="Y147"/>
      <c r="Z147"/>
      <c r="AA147"/>
      <c r="AB147"/>
    </row>
    <row r="148" spans="1:28" s="1" customFormat="1" ht="13.5" thickBot="1">
      <c r="A148" s="4" t="s">
        <v>75</v>
      </c>
      <c r="B148" s="26" t="s">
        <v>37</v>
      </c>
      <c r="C148" s="2">
        <f aca="true" t="shared" si="15" ref="C148:C174">$C$145</f>
        <v>1421</v>
      </c>
      <c r="D148" s="5">
        <f>3.33/4</f>
        <v>0.8325</v>
      </c>
      <c r="E148" s="64">
        <f t="shared" si="14"/>
        <v>1.1829825</v>
      </c>
      <c r="F148" s="78">
        <v>46</v>
      </c>
      <c r="G148" s="54">
        <f aca="true" t="shared" si="16" ref="G148:G174">E148*F148</f>
        <v>54.417195</v>
      </c>
      <c r="H148" s="2"/>
      <c r="J148"/>
      <c r="K148" s="20"/>
      <c r="L148" s="20"/>
      <c r="M148" s="21"/>
      <c r="N148"/>
      <c r="O148"/>
      <c r="Q148"/>
      <c r="R148"/>
      <c r="S148"/>
      <c r="T148"/>
      <c r="U148"/>
      <c r="V148"/>
      <c r="W148"/>
      <c r="X148"/>
      <c r="Y148"/>
      <c r="Z148"/>
      <c r="AA148"/>
      <c r="AB148"/>
    </row>
    <row r="149" spans="1:28" s="1" customFormat="1" ht="13.5" thickBot="1">
      <c r="A149" s="4" t="s">
        <v>76</v>
      </c>
      <c r="B149" s="26" t="s">
        <v>62</v>
      </c>
      <c r="C149" s="2">
        <f t="shared" si="15"/>
        <v>1421</v>
      </c>
      <c r="D149" s="5">
        <f>1.89/4</f>
        <v>0.4725</v>
      </c>
      <c r="E149" s="64">
        <f t="shared" si="14"/>
        <v>0.6714225</v>
      </c>
      <c r="F149" s="78">
        <v>101</v>
      </c>
      <c r="G149" s="54">
        <f t="shared" si="16"/>
        <v>67.81367250000001</v>
      </c>
      <c r="H149" s="2"/>
      <c r="J149"/>
      <c r="K149" s="20"/>
      <c r="L149" s="20"/>
      <c r="M149" s="21"/>
      <c r="N149"/>
      <c r="O149"/>
      <c r="Q149"/>
      <c r="R149"/>
      <c r="S149"/>
      <c r="T149"/>
      <c r="U149"/>
      <c r="V149"/>
      <c r="W149"/>
      <c r="X149"/>
      <c r="Y149"/>
      <c r="Z149"/>
      <c r="AA149"/>
      <c r="AB149"/>
    </row>
    <row r="150" spans="1:28" s="1" customFormat="1" ht="13.5" thickBot="1">
      <c r="A150" s="4" t="s">
        <v>77</v>
      </c>
      <c r="B150" s="26" t="s">
        <v>36</v>
      </c>
      <c r="C150" s="2">
        <f t="shared" si="15"/>
        <v>1421</v>
      </c>
      <c r="D150" s="5">
        <f>0.1/4</f>
        <v>0.025</v>
      </c>
      <c r="E150" s="64">
        <f t="shared" si="14"/>
        <v>0.035525</v>
      </c>
      <c r="F150" s="78">
        <v>33.95</v>
      </c>
      <c r="G150" s="54">
        <f t="shared" si="16"/>
        <v>1.20607375</v>
      </c>
      <c r="H150" s="2"/>
      <c r="J150"/>
      <c r="K150" s="20"/>
      <c r="L150" s="20"/>
      <c r="M150" s="21"/>
      <c r="N150"/>
      <c r="O150"/>
      <c r="Q150"/>
      <c r="R150"/>
      <c r="S150"/>
      <c r="T150"/>
      <c r="U150"/>
      <c r="V150"/>
      <c r="W150"/>
      <c r="X150"/>
      <c r="Y150"/>
      <c r="Z150"/>
      <c r="AA150"/>
      <c r="AB150"/>
    </row>
    <row r="151" spans="1:28" s="1" customFormat="1" ht="13.5" thickBot="1">
      <c r="A151" s="4" t="s">
        <v>78</v>
      </c>
      <c r="B151" s="26" t="s">
        <v>36</v>
      </c>
      <c r="C151" s="2">
        <f t="shared" si="15"/>
        <v>1421</v>
      </c>
      <c r="D151" s="5">
        <f>0.04/4</f>
        <v>0.01</v>
      </c>
      <c r="E151" s="64">
        <f t="shared" si="14"/>
        <v>0.01421</v>
      </c>
      <c r="F151" s="78">
        <v>15.48</v>
      </c>
      <c r="G151" s="54">
        <f t="shared" si="16"/>
        <v>0.21997080000000002</v>
      </c>
      <c r="H151" s="2"/>
      <c r="J151"/>
      <c r="K151" s="20"/>
      <c r="L151" s="20"/>
      <c r="M151" s="21"/>
      <c r="N151"/>
      <c r="O151"/>
      <c r="Q151"/>
      <c r="R151"/>
      <c r="S151"/>
      <c r="T151"/>
      <c r="U151"/>
      <c r="V151"/>
      <c r="W151"/>
      <c r="X151"/>
      <c r="Y151"/>
      <c r="Z151"/>
      <c r="AA151"/>
      <c r="AB151"/>
    </row>
    <row r="152" spans="1:28" s="1" customFormat="1" ht="13.5" thickBot="1">
      <c r="A152" s="4" t="s">
        <v>79</v>
      </c>
      <c r="B152" s="26" t="s">
        <v>36</v>
      </c>
      <c r="C152" s="2">
        <f t="shared" si="15"/>
        <v>1421</v>
      </c>
      <c r="D152" s="5">
        <f>0.05/4</f>
        <v>0.0125</v>
      </c>
      <c r="E152" s="64">
        <f t="shared" si="14"/>
        <v>0.0177625</v>
      </c>
      <c r="F152" s="78">
        <v>128.5</v>
      </c>
      <c r="G152" s="54">
        <f t="shared" si="16"/>
        <v>2.28248125</v>
      </c>
      <c r="H152" s="2"/>
      <c r="J152"/>
      <c r="K152" s="20"/>
      <c r="L152" s="20"/>
      <c r="M152" s="21"/>
      <c r="N152"/>
      <c r="O152"/>
      <c r="Q152"/>
      <c r="R152"/>
      <c r="S152"/>
      <c r="T152"/>
      <c r="U152"/>
      <c r="V152"/>
      <c r="W152"/>
      <c r="X152"/>
      <c r="Y152"/>
      <c r="Z152"/>
      <c r="AA152"/>
      <c r="AB152"/>
    </row>
    <row r="153" spans="1:28" s="1" customFormat="1" ht="13.5" thickBot="1">
      <c r="A153" s="4" t="s">
        <v>80</v>
      </c>
      <c r="B153" s="26" t="s">
        <v>36</v>
      </c>
      <c r="C153" s="2">
        <f t="shared" si="15"/>
        <v>1421</v>
      </c>
      <c r="D153" s="5">
        <f>1.09/4</f>
        <v>0.2725</v>
      </c>
      <c r="E153" s="64">
        <f t="shared" si="14"/>
        <v>0.3872225</v>
      </c>
      <c r="F153" s="78">
        <v>400.2</v>
      </c>
      <c r="G153" s="54">
        <f t="shared" si="16"/>
        <v>154.9664445</v>
      </c>
      <c r="H153" s="2"/>
      <c r="J153"/>
      <c r="K153" s="20"/>
      <c r="L153" s="20"/>
      <c r="M153" s="21"/>
      <c r="N153"/>
      <c r="O153"/>
      <c r="Q153"/>
      <c r="R153"/>
      <c r="S153"/>
      <c r="T153"/>
      <c r="U153"/>
      <c r="V153"/>
      <c r="W153"/>
      <c r="X153"/>
      <c r="Y153"/>
      <c r="Z153"/>
      <c r="AA153"/>
      <c r="AB153"/>
    </row>
    <row r="154" spans="1:28" s="1" customFormat="1" ht="13.5" thickBot="1">
      <c r="A154" s="4" t="s">
        <v>81</v>
      </c>
      <c r="B154" s="26" t="s">
        <v>36</v>
      </c>
      <c r="C154" s="2">
        <f t="shared" si="15"/>
        <v>1421</v>
      </c>
      <c r="D154" s="5">
        <f>0.02/4</f>
        <v>0.005</v>
      </c>
      <c r="E154" s="64">
        <f t="shared" si="14"/>
        <v>0.007105</v>
      </c>
      <c r="F154" s="78">
        <v>51</v>
      </c>
      <c r="G154" s="54">
        <f t="shared" si="16"/>
        <v>0.362355</v>
      </c>
      <c r="H154" s="2"/>
      <c r="J154"/>
      <c r="K154" s="20"/>
      <c r="L154" s="20"/>
      <c r="M154" s="21"/>
      <c r="N154"/>
      <c r="O154"/>
      <c r="Q154"/>
      <c r="R154"/>
      <c r="S154"/>
      <c r="T154"/>
      <c r="U154"/>
      <c r="V154"/>
      <c r="W154"/>
      <c r="X154"/>
      <c r="Y154"/>
      <c r="Z154"/>
      <c r="AA154"/>
      <c r="AB154"/>
    </row>
    <row r="155" spans="1:28" s="1" customFormat="1" ht="13.5" thickBot="1">
      <c r="A155" s="4" t="s">
        <v>82</v>
      </c>
      <c r="B155" s="26" t="s">
        <v>62</v>
      </c>
      <c r="C155" s="2">
        <f t="shared" si="15"/>
        <v>1421</v>
      </c>
      <c r="D155" s="5">
        <f>0.36/4*2</f>
        <v>0.18</v>
      </c>
      <c r="E155" s="64">
        <f t="shared" si="14"/>
        <v>0.25578</v>
      </c>
      <c r="F155" s="78">
        <v>12000</v>
      </c>
      <c r="G155" s="54">
        <f t="shared" si="16"/>
        <v>3069.36</v>
      </c>
      <c r="H155" s="2"/>
      <c r="J155"/>
      <c r="K155" s="20"/>
      <c r="L155" s="20"/>
      <c r="M155" s="21"/>
      <c r="N155"/>
      <c r="O155"/>
      <c r="Q155"/>
      <c r="R155"/>
      <c r="S155"/>
      <c r="T155"/>
      <c r="U155"/>
      <c r="V155"/>
      <c r="W155"/>
      <c r="X155"/>
      <c r="Y155"/>
      <c r="Z155"/>
      <c r="AA155"/>
      <c r="AB155"/>
    </row>
    <row r="156" spans="1:28" s="1" customFormat="1" ht="13.5" thickBot="1">
      <c r="A156" s="4" t="s">
        <v>83</v>
      </c>
      <c r="B156" s="26" t="s">
        <v>36</v>
      </c>
      <c r="C156" s="2">
        <f t="shared" si="15"/>
        <v>1421</v>
      </c>
      <c r="D156" s="5">
        <f>0.95/4</f>
        <v>0.2375</v>
      </c>
      <c r="E156" s="64">
        <f t="shared" si="14"/>
        <v>0.3374875</v>
      </c>
      <c r="F156" s="78">
        <v>82.45</v>
      </c>
      <c r="G156" s="54">
        <f t="shared" si="16"/>
        <v>27.825844375</v>
      </c>
      <c r="H156" s="2"/>
      <c r="J156"/>
      <c r="K156" s="20"/>
      <c r="L156" s="20"/>
      <c r="M156" s="21"/>
      <c r="N156"/>
      <c r="O156"/>
      <c r="Q156"/>
      <c r="R156"/>
      <c r="S156"/>
      <c r="T156"/>
      <c r="U156"/>
      <c r="V156"/>
      <c r="W156"/>
      <c r="X156"/>
      <c r="Y156"/>
      <c r="Z156"/>
      <c r="AA156"/>
      <c r="AB156"/>
    </row>
    <row r="157" spans="1:28" s="1" customFormat="1" ht="15" thickBot="1">
      <c r="A157" s="4" t="s">
        <v>84</v>
      </c>
      <c r="B157" s="26" t="s">
        <v>102</v>
      </c>
      <c r="C157" s="2">
        <f t="shared" si="15"/>
        <v>1421</v>
      </c>
      <c r="D157" s="5">
        <f>1.627/4</f>
        <v>0.40675</v>
      </c>
      <c r="E157" s="64">
        <f t="shared" si="14"/>
        <v>0.57799175</v>
      </c>
      <c r="F157" s="78">
        <v>2200</v>
      </c>
      <c r="G157" s="54">
        <f t="shared" si="16"/>
        <v>1271.58185</v>
      </c>
      <c r="H157" s="2"/>
      <c r="J157"/>
      <c r="K157" s="20"/>
      <c r="L157" s="20"/>
      <c r="M157" s="21"/>
      <c r="N157"/>
      <c r="O157"/>
      <c r="Q157"/>
      <c r="R157"/>
      <c r="S157"/>
      <c r="T157"/>
      <c r="U157"/>
      <c r="V157"/>
      <c r="W157"/>
      <c r="X157"/>
      <c r="Y157"/>
      <c r="Z157"/>
      <c r="AA157"/>
      <c r="AB157"/>
    </row>
    <row r="158" spans="1:28" s="1" customFormat="1" ht="15" thickBot="1">
      <c r="A158" s="4" t="s">
        <v>85</v>
      </c>
      <c r="B158" s="26" t="s">
        <v>102</v>
      </c>
      <c r="C158" s="2">
        <f t="shared" si="15"/>
        <v>1421</v>
      </c>
      <c r="D158" s="5">
        <f>0.0048/4</f>
        <v>0.0012</v>
      </c>
      <c r="E158" s="64">
        <f t="shared" si="14"/>
        <v>0.0017051999999999998</v>
      </c>
      <c r="F158" s="78">
        <v>575</v>
      </c>
      <c r="G158" s="54">
        <f t="shared" si="16"/>
        <v>0.9804899999999999</v>
      </c>
      <c r="H158" s="2"/>
      <c r="J158"/>
      <c r="K158" s="20"/>
      <c r="L158" s="20"/>
      <c r="M158" s="21"/>
      <c r="N158"/>
      <c r="O158"/>
      <c r="Q158"/>
      <c r="R158"/>
      <c r="S158"/>
      <c r="T158"/>
      <c r="U158"/>
      <c r="V158"/>
      <c r="W158"/>
      <c r="X158"/>
      <c r="Y158"/>
      <c r="Z158"/>
      <c r="AA158"/>
      <c r="AB158"/>
    </row>
    <row r="159" spans="1:28" s="1" customFormat="1" ht="13.5" thickBot="1">
      <c r="A159" s="4" t="s">
        <v>86</v>
      </c>
      <c r="B159" s="26" t="s">
        <v>62</v>
      </c>
      <c r="C159" s="2">
        <f t="shared" si="15"/>
        <v>1421</v>
      </c>
      <c r="D159" s="5">
        <f>0.58/4</f>
        <v>0.145</v>
      </c>
      <c r="E159" s="64">
        <f t="shared" si="14"/>
        <v>0.20604499999999998</v>
      </c>
      <c r="F159" s="78">
        <v>24.25</v>
      </c>
      <c r="G159" s="54">
        <f t="shared" si="16"/>
        <v>4.99659125</v>
      </c>
      <c r="H159" s="2"/>
      <c r="J159"/>
      <c r="K159" s="20"/>
      <c r="L159" s="20"/>
      <c r="M159" s="21"/>
      <c r="N159"/>
      <c r="O159"/>
      <c r="Q159"/>
      <c r="R159"/>
      <c r="S159"/>
      <c r="T159"/>
      <c r="U159"/>
      <c r="V159"/>
      <c r="W159"/>
      <c r="X159"/>
      <c r="Y159"/>
      <c r="Z159"/>
      <c r="AA159"/>
      <c r="AB159"/>
    </row>
    <row r="160" spans="1:28" s="1" customFormat="1" ht="15" thickBot="1">
      <c r="A160" s="4" t="s">
        <v>87</v>
      </c>
      <c r="B160" s="26" t="s">
        <v>102</v>
      </c>
      <c r="C160" s="2">
        <f t="shared" si="15"/>
        <v>1421</v>
      </c>
      <c r="D160" s="5">
        <f>0.18/4</f>
        <v>0.045</v>
      </c>
      <c r="E160" s="64">
        <f t="shared" si="14"/>
        <v>0.063945</v>
      </c>
      <c r="F160" s="78">
        <v>15.4</v>
      </c>
      <c r="G160" s="54">
        <f t="shared" si="16"/>
        <v>0.9847530000000001</v>
      </c>
      <c r="H160" s="2"/>
      <c r="J160"/>
      <c r="K160" s="20"/>
      <c r="L160" s="20"/>
      <c r="M160" s="21"/>
      <c r="N160"/>
      <c r="O160"/>
      <c r="Q160"/>
      <c r="R160"/>
      <c r="S160"/>
      <c r="T160"/>
      <c r="U160"/>
      <c r="V160"/>
      <c r="W160"/>
      <c r="X160"/>
      <c r="Y160"/>
      <c r="Z160"/>
      <c r="AA160"/>
      <c r="AB160"/>
    </row>
    <row r="161" spans="1:28" s="1" customFormat="1" ht="27" thickBot="1">
      <c r="A161" s="4" t="s">
        <v>88</v>
      </c>
      <c r="B161" s="26" t="s">
        <v>36</v>
      </c>
      <c r="C161" s="2">
        <f t="shared" si="15"/>
        <v>1421</v>
      </c>
      <c r="D161" s="5">
        <f>4.14/4</f>
        <v>1.035</v>
      </c>
      <c r="E161" s="64">
        <f t="shared" si="14"/>
        <v>1.470735</v>
      </c>
      <c r="F161" s="78">
        <v>116.4</v>
      </c>
      <c r="G161" s="54">
        <f t="shared" si="16"/>
        <v>171.193554</v>
      </c>
      <c r="H161" s="2"/>
      <c r="J161"/>
      <c r="K161" s="20"/>
      <c r="L161" s="20"/>
      <c r="M161" s="21"/>
      <c r="N161"/>
      <c r="O161"/>
      <c r="Q161"/>
      <c r="R161"/>
      <c r="S161"/>
      <c r="T161"/>
      <c r="U161"/>
      <c r="V161"/>
      <c r="W161"/>
      <c r="X161"/>
      <c r="Y161"/>
      <c r="Z161"/>
      <c r="AA161"/>
      <c r="AB161"/>
    </row>
    <row r="162" spans="1:28" s="1" customFormat="1" ht="15" thickBot="1">
      <c r="A162" s="4" t="s">
        <v>89</v>
      </c>
      <c r="B162" s="26" t="s">
        <v>102</v>
      </c>
      <c r="C162" s="2">
        <f t="shared" si="15"/>
        <v>1421</v>
      </c>
      <c r="D162" s="5">
        <f>3.02/4</f>
        <v>0.755</v>
      </c>
      <c r="E162" s="64">
        <f t="shared" si="14"/>
        <v>1.0728550000000001</v>
      </c>
      <c r="F162" s="78">
        <v>2581</v>
      </c>
      <c r="G162" s="54">
        <f t="shared" si="16"/>
        <v>2769.0387550000005</v>
      </c>
      <c r="H162" s="2"/>
      <c r="J162"/>
      <c r="K162" s="20"/>
      <c r="L162" s="20"/>
      <c r="M162" s="21"/>
      <c r="N162"/>
      <c r="O162"/>
      <c r="Q162"/>
      <c r="R162"/>
      <c r="S162"/>
      <c r="T162"/>
      <c r="U162"/>
      <c r="V162"/>
      <c r="W162"/>
      <c r="X162"/>
      <c r="Y162"/>
      <c r="Z162"/>
      <c r="AA162"/>
      <c r="AB162"/>
    </row>
    <row r="163" spans="1:28" s="1" customFormat="1" ht="13.5" thickBot="1">
      <c r="A163" s="4" t="s">
        <v>90</v>
      </c>
      <c r="B163" s="26" t="s">
        <v>36</v>
      </c>
      <c r="C163" s="2">
        <f t="shared" si="15"/>
        <v>1421</v>
      </c>
      <c r="D163" s="5">
        <f>0.03/4</f>
        <v>0.0075</v>
      </c>
      <c r="E163" s="64">
        <f t="shared" si="14"/>
        <v>0.010657499999999999</v>
      </c>
      <c r="F163" s="78">
        <v>150.95</v>
      </c>
      <c r="G163" s="54">
        <f t="shared" si="16"/>
        <v>1.6087496249999997</v>
      </c>
      <c r="H163" s="2"/>
      <c r="J163"/>
      <c r="K163" s="20"/>
      <c r="L163" s="20"/>
      <c r="M163" s="21"/>
      <c r="N163"/>
      <c r="O163"/>
      <c r="Q163"/>
      <c r="R163"/>
      <c r="S163"/>
      <c r="T163"/>
      <c r="U163"/>
      <c r="V163"/>
      <c r="W163"/>
      <c r="X163"/>
      <c r="Y163"/>
      <c r="Z163"/>
      <c r="AA163"/>
      <c r="AB163"/>
    </row>
    <row r="164" spans="1:28" s="1" customFormat="1" ht="13.5" thickBot="1">
      <c r="A164" s="4" t="s">
        <v>91</v>
      </c>
      <c r="B164" s="26" t="s">
        <v>36</v>
      </c>
      <c r="C164" s="2">
        <f t="shared" si="15"/>
        <v>1421</v>
      </c>
      <c r="D164" s="5">
        <f>0.04/4</f>
        <v>0.01</v>
      </c>
      <c r="E164" s="64">
        <f t="shared" si="14"/>
        <v>0.01421</v>
      </c>
      <c r="F164" s="78">
        <v>125.41</v>
      </c>
      <c r="G164" s="54">
        <f t="shared" si="16"/>
        <v>1.7820761</v>
      </c>
      <c r="H164" s="2"/>
      <c r="J164"/>
      <c r="K164" s="20"/>
      <c r="L164" s="20"/>
      <c r="M164" s="21"/>
      <c r="N164"/>
      <c r="O164"/>
      <c r="Q164"/>
      <c r="R164"/>
      <c r="S164"/>
      <c r="T164"/>
      <c r="U164"/>
      <c r="V164"/>
      <c r="W164"/>
      <c r="X164"/>
      <c r="Y164"/>
      <c r="Z164"/>
      <c r="AA164"/>
      <c r="AB164"/>
    </row>
    <row r="165" spans="1:28" s="1" customFormat="1" ht="13.5" thickBot="1">
      <c r="A165" s="4" t="s">
        <v>92</v>
      </c>
      <c r="B165" s="26" t="s">
        <v>62</v>
      </c>
      <c r="C165" s="2">
        <f t="shared" si="15"/>
        <v>1421</v>
      </c>
      <c r="D165" s="5">
        <f>1.08/4</f>
        <v>0.27</v>
      </c>
      <c r="E165" s="64">
        <f t="shared" si="14"/>
        <v>0.38367</v>
      </c>
      <c r="F165" s="78">
        <v>2.26</v>
      </c>
      <c r="G165" s="54">
        <f t="shared" si="16"/>
        <v>0.8670941999999999</v>
      </c>
      <c r="H165" s="2"/>
      <c r="J165"/>
      <c r="K165" s="20"/>
      <c r="L165" s="20"/>
      <c r="M165" s="21"/>
      <c r="N165"/>
      <c r="O165"/>
      <c r="Q165"/>
      <c r="R165"/>
      <c r="S165"/>
      <c r="T165"/>
      <c r="U165"/>
      <c r="V165"/>
      <c r="W165"/>
      <c r="X165"/>
      <c r="Y165"/>
      <c r="Z165"/>
      <c r="AA165"/>
      <c r="AB165"/>
    </row>
    <row r="166" spans="1:28" s="1" customFormat="1" ht="13.5" thickBot="1">
      <c r="A166" s="4" t="s">
        <v>93</v>
      </c>
      <c r="B166" s="26" t="s">
        <v>36</v>
      </c>
      <c r="C166" s="2">
        <f t="shared" si="15"/>
        <v>1421</v>
      </c>
      <c r="D166" s="5">
        <f>0.52/4</f>
        <v>0.13</v>
      </c>
      <c r="E166" s="64">
        <f t="shared" si="14"/>
        <v>0.18473</v>
      </c>
      <c r="F166" s="78">
        <v>140</v>
      </c>
      <c r="G166" s="54">
        <f t="shared" si="16"/>
        <v>25.8622</v>
      </c>
      <c r="H166" s="2"/>
      <c r="J166"/>
      <c r="K166" s="20"/>
      <c r="L166" s="20"/>
      <c r="M166" s="21"/>
      <c r="N166"/>
      <c r="O166"/>
      <c r="Q166"/>
      <c r="R166"/>
      <c r="S166"/>
      <c r="T166"/>
      <c r="U166"/>
      <c r="V166"/>
      <c r="W166"/>
      <c r="X166"/>
      <c r="Y166"/>
      <c r="Z166"/>
      <c r="AA166"/>
      <c r="AB166"/>
    </row>
    <row r="167" spans="1:28" s="1" customFormat="1" ht="13.5" thickBot="1">
      <c r="A167" s="4" t="s">
        <v>94</v>
      </c>
      <c r="B167" s="26" t="s">
        <v>36</v>
      </c>
      <c r="C167" s="2">
        <f t="shared" si="15"/>
        <v>1421</v>
      </c>
      <c r="D167" s="5">
        <f>0.01/4</f>
        <v>0.0025</v>
      </c>
      <c r="E167" s="64">
        <f t="shared" si="14"/>
        <v>0.0035525</v>
      </c>
      <c r="F167" s="78">
        <v>489</v>
      </c>
      <c r="G167" s="54">
        <f t="shared" si="16"/>
        <v>1.7371725</v>
      </c>
      <c r="H167" s="2"/>
      <c r="J167"/>
      <c r="K167" s="20"/>
      <c r="L167" s="20"/>
      <c r="M167" s="21"/>
      <c r="N167"/>
      <c r="O167"/>
      <c r="Q167"/>
      <c r="R167"/>
      <c r="S167"/>
      <c r="T167"/>
      <c r="U167"/>
      <c r="V167"/>
      <c r="W167"/>
      <c r="X167"/>
      <c r="Y167"/>
      <c r="Z167"/>
      <c r="AA167"/>
      <c r="AB167"/>
    </row>
    <row r="168" spans="1:28" s="1" customFormat="1" ht="13.5" thickBot="1">
      <c r="A168" s="4" t="s">
        <v>95</v>
      </c>
      <c r="B168" s="26" t="s">
        <v>62</v>
      </c>
      <c r="C168" s="2">
        <f t="shared" si="15"/>
        <v>1421</v>
      </c>
      <c r="D168" s="5">
        <f>1.9/4</f>
        <v>0.475</v>
      </c>
      <c r="E168" s="64">
        <f t="shared" si="14"/>
        <v>0.674975</v>
      </c>
      <c r="F168" s="78">
        <v>145.5</v>
      </c>
      <c r="G168" s="54">
        <f t="shared" si="16"/>
        <v>98.2088625</v>
      </c>
      <c r="H168" s="2"/>
      <c r="J168"/>
      <c r="K168" s="20"/>
      <c r="L168" s="20"/>
      <c r="M168" s="21"/>
      <c r="N168"/>
      <c r="O168"/>
      <c r="Q168"/>
      <c r="R168"/>
      <c r="S168"/>
      <c r="T168"/>
      <c r="U168"/>
      <c r="V168"/>
      <c r="W168"/>
      <c r="X168"/>
      <c r="Y168"/>
      <c r="Z168"/>
      <c r="AA168"/>
      <c r="AB168"/>
    </row>
    <row r="169" spans="1:28" s="1" customFormat="1" ht="13.5" thickBot="1">
      <c r="A169" s="4" t="s">
        <v>96</v>
      </c>
      <c r="B169" s="26" t="s">
        <v>62</v>
      </c>
      <c r="C169" s="2">
        <f t="shared" si="15"/>
        <v>1421</v>
      </c>
      <c r="D169" s="5">
        <f>2.1/4</f>
        <v>0.525</v>
      </c>
      <c r="E169" s="64">
        <f t="shared" si="14"/>
        <v>0.7460249999999999</v>
      </c>
      <c r="F169" s="78">
        <v>121.5</v>
      </c>
      <c r="G169" s="54">
        <f t="shared" si="16"/>
        <v>90.64203749999999</v>
      </c>
      <c r="H169" s="2"/>
      <c r="J169"/>
      <c r="K169" s="20"/>
      <c r="L169" s="20"/>
      <c r="M169" s="21"/>
      <c r="N169"/>
      <c r="O169"/>
      <c r="Q169"/>
      <c r="R169"/>
      <c r="S169"/>
      <c r="T169"/>
      <c r="U169"/>
      <c r="V169"/>
      <c r="W169"/>
      <c r="X169"/>
      <c r="Y169"/>
      <c r="Z169"/>
      <c r="AA169"/>
      <c r="AB169"/>
    </row>
    <row r="170" spans="1:28" s="1" customFormat="1" ht="13.5" thickBot="1">
      <c r="A170" s="4" t="s">
        <v>97</v>
      </c>
      <c r="B170" s="26" t="s">
        <v>62</v>
      </c>
      <c r="C170" s="2">
        <f t="shared" si="15"/>
        <v>1421</v>
      </c>
      <c r="D170" s="5">
        <f>2.1/4</f>
        <v>0.525</v>
      </c>
      <c r="E170" s="64">
        <f t="shared" si="14"/>
        <v>0.7460249999999999</v>
      </c>
      <c r="F170" s="78">
        <v>53.77</v>
      </c>
      <c r="G170" s="54">
        <f t="shared" si="16"/>
        <v>40.113764249999996</v>
      </c>
      <c r="H170" s="2"/>
      <c r="J170"/>
      <c r="K170" s="20"/>
      <c r="L170" s="20"/>
      <c r="M170" s="21"/>
      <c r="N170"/>
      <c r="O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1:28" s="1" customFormat="1" ht="13.5" thickBot="1">
      <c r="A171" s="4" t="s">
        <v>98</v>
      </c>
      <c r="B171" s="26" t="s">
        <v>36</v>
      </c>
      <c r="C171" s="2">
        <f t="shared" si="15"/>
        <v>1421</v>
      </c>
      <c r="D171" s="5">
        <f>0.88/4</f>
        <v>0.22</v>
      </c>
      <c r="E171" s="64">
        <f t="shared" si="14"/>
        <v>0.31262</v>
      </c>
      <c r="F171" s="78">
        <v>48.17</v>
      </c>
      <c r="G171" s="54">
        <f t="shared" si="16"/>
        <v>15.0589054</v>
      </c>
      <c r="H171" s="2"/>
      <c r="J171"/>
      <c r="K171" s="20"/>
      <c r="L171" s="20"/>
      <c r="M171" s="21"/>
      <c r="N171"/>
      <c r="O171"/>
      <c r="Q171"/>
      <c r="R171"/>
      <c r="S171"/>
      <c r="T171"/>
      <c r="U171"/>
      <c r="V171"/>
      <c r="W171"/>
      <c r="X171"/>
      <c r="Y171"/>
      <c r="Z171"/>
      <c r="AA171"/>
      <c r="AB171"/>
    </row>
    <row r="172" spans="1:28" s="1" customFormat="1" ht="13.5" thickBot="1">
      <c r="A172" s="4" t="s">
        <v>99</v>
      </c>
      <c r="B172" s="26" t="s">
        <v>36</v>
      </c>
      <c r="C172" s="2">
        <f t="shared" si="15"/>
        <v>1421</v>
      </c>
      <c r="D172" s="5">
        <f>6.29/4</f>
        <v>1.5725</v>
      </c>
      <c r="E172" s="64">
        <f t="shared" si="14"/>
        <v>2.2345225</v>
      </c>
      <c r="F172" s="78">
        <v>50</v>
      </c>
      <c r="G172" s="54">
        <f t="shared" si="16"/>
        <v>111.72612500000001</v>
      </c>
      <c r="H172" s="2"/>
      <c r="J172"/>
      <c r="K172" s="20"/>
      <c r="L172" s="20"/>
      <c r="M172" s="21"/>
      <c r="N172"/>
      <c r="O172"/>
      <c r="Q172"/>
      <c r="R172"/>
      <c r="S172"/>
      <c r="T172"/>
      <c r="U172"/>
      <c r="V172"/>
      <c r="W172"/>
      <c r="X172"/>
      <c r="Y172"/>
      <c r="Z172"/>
      <c r="AA172"/>
      <c r="AB172"/>
    </row>
    <row r="173" spans="1:28" s="1" customFormat="1" ht="13.5" thickBot="1">
      <c r="A173" s="4" t="s">
        <v>100</v>
      </c>
      <c r="B173" s="26" t="s">
        <v>36</v>
      </c>
      <c r="C173" s="2">
        <f t="shared" si="15"/>
        <v>1421</v>
      </c>
      <c r="D173" s="5">
        <f>0.15/4</f>
        <v>0.0375</v>
      </c>
      <c r="E173" s="64">
        <f t="shared" si="14"/>
        <v>0.0532875</v>
      </c>
      <c r="F173" s="78">
        <v>94.11</v>
      </c>
      <c r="G173" s="54">
        <f t="shared" si="16"/>
        <v>5.014886625</v>
      </c>
      <c r="H173" s="2"/>
      <c r="J173"/>
      <c r="K173" s="20"/>
      <c r="L173" s="20"/>
      <c r="M173" s="21"/>
      <c r="N173"/>
      <c r="O173"/>
      <c r="Q173"/>
      <c r="R173"/>
      <c r="S173"/>
      <c r="T173"/>
      <c r="U173"/>
      <c r="V173"/>
      <c r="W173"/>
      <c r="X173"/>
      <c r="Y173"/>
      <c r="Z173"/>
      <c r="AA173"/>
      <c r="AB173"/>
    </row>
    <row r="174" spans="1:28" s="1" customFormat="1" ht="13.5" thickBot="1">
      <c r="A174" s="4" t="s">
        <v>101</v>
      </c>
      <c r="B174" s="26" t="s">
        <v>36</v>
      </c>
      <c r="C174" s="2">
        <f t="shared" si="15"/>
        <v>1421</v>
      </c>
      <c r="D174" s="5">
        <f>0.33/4</f>
        <v>0.0825</v>
      </c>
      <c r="E174" s="64">
        <f t="shared" si="14"/>
        <v>0.1172325</v>
      </c>
      <c r="F174" s="78">
        <v>56.64</v>
      </c>
      <c r="G174" s="54">
        <f t="shared" si="16"/>
        <v>6.640048800000001</v>
      </c>
      <c r="H174" s="2"/>
      <c r="J174"/>
      <c r="K174" s="20"/>
      <c r="L174" s="20"/>
      <c r="M174" s="21"/>
      <c r="N174"/>
      <c r="O174"/>
      <c r="Q174"/>
      <c r="R174"/>
      <c r="S174"/>
      <c r="T174"/>
      <c r="U174"/>
      <c r="V174"/>
      <c r="W174"/>
      <c r="X174"/>
      <c r="Y174"/>
      <c r="Z174"/>
      <c r="AA174"/>
      <c r="AB174"/>
    </row>
    <row r="175" spans="1:28" s="1" customFormat="1" ht="13.5" thickBot="1">
      <c r="A175" s="4" t="s">
        <v>209</v>
      </c>
      <c r="B175" s="26"/>
      <c r="C175" s="2"/>
      <c r="D175" s="5"/>
      <c r="E175" s="64"/>
      <c r="F175" s="78"/>
      <c r="G175" s="54">
        <f>(E145+E146)*спецодежда!G35</f>
        <v>100.89204878325997</v>
      </c>
      <c r="H175" s="2"/>
      <c r="J175"/>
      <c r="K175" s="20"/>
      <c r="L175" s="20"/>
      <c r="M175" s="21"/>
      <c r="N175"/>
      <c r="O175"/>
      <c r="Q175"/>
      <c r="R175"/>
      <c r="S175"/>
      <c r="T175"/>
      <c r="U175"/>
      <c r="V175"/>
      <c r="W175"/>
      <c r="X175"/>
      <c r="Y175"/>
      <c r="Z175"/>
      <c r="AA175"/>
      <c r="AB175"/>
    </row>
    <row r="176" spans="1:28" s="1" customFormat="1" ht="15">
      <c r="A176" s="9" t="s">
        <v>48</v>
      </c>
      <c r="B176" s="10"/>
      <c r="C176" s="10"/>
      <c r="D176" s="10"/>
      <c r="E176" s="10"/>
      <c r="F176" s="10"/>
      <c r="G176" s="66">
        <f>SUM(G145:G146,G148:G175)</f>
        <v>16624.520166273614</v>
      </c>
      <c r="H176" s="41">
        <f>G176/B5/12</f>
        <v>0.9749308096571437</v>
      </c>
      <c r="J176"/>
      <c r="N176"/>
      <c r="O176"/>
      <c r="Q176"/>
      <c r="R176"/>
      <c r="S176"/>
      <c r="T176"/>
      <c r="U176"/>
      <c r="V176"/>
      <c r="W176"/>
      <c r="X176"/>
      <c r="Y176"/>
      <c r="Z176"/>
      <c r="AA176"/>
      <c r="AB176"/>
    </row>
    <row r="178" spans="1:28" s="1" customFormat="1" ht="66.75" customHeight="1">
      <c r="A178" s="167" t="s">
        <v>250</v>
      </c>
      <c r="B178" s="168"/>
      <c r="C178" s="169" t="s">
        <v>234</v>
      </c>
      <c r="D178" s="170"/>
      <c r="E178" s="170"/>
      <c r="F178" s="170"/>
      <c r="G178" s="170"/>
      <c r="H178" s="170"/>
      <c r="Q178"/>
      <c r="R178"/>
      <c r="S178"/>
      <c r="T178"/>
      <c r="U178"/>
      <c r="V178"/>
      <c r="W178"/>
      <c r="X178"/>
      <c r="Y178"/>
      <c r="Z178"/>
      <c r="AA178"/>
      <c r="AB178"/>
    </row>
    <row r="179" spans="1:28" s="1" customFormat="1" ht="91.5" customHeight="1" thickBot="1">
      <c r="A179" s="13" t="s">
        <v>3</v>
      </c>
      <c r="B179" s="13" t="s">
        <v>4</v>
      </c>
      <c r="C179" s="13" t="s">
        <v>0</v>
      </c>
      <c r="D179" s="13" t="s">
        <v>1</v>
      </c>
      <c r="E179" s="13" t="s">
        <v>5</v>
      </c>
      <c r="F179" s="14" t="s">
        <v>46</v>
      </c>
      <c r="G179" s="14" t="s">
        <v>225</v>
      </c>
      <c r="H179" s="14" t="s">
        <v>49</v>
      </c>
      <c r="Q179"/>
      <c r="R179"/>
      <c r="S179"/>
      <c r="T179"/>
      <c r="U179"/>
      <c r="V179"/>
      <c r="W179"/>
      <c r="X179"/>
      <c r="Y179"/>
      <c r="Z179"/>
      <c r="AA179"/>
      <c r="AB179"/>
    </row>
    <row r="180" spans="1:28" s="1" customFormat="1" ht="39.75" thickBot="1">
      <c r="A180" s="3" t="s">
        <v>40</v>
      </c>
      <c r="B180" s="59">
        <v>3</v>
      </c>
      <c r="C180" s="2">
        <f>B5</f>
        <v>1421</v>
      </c>
      <c r="D180" s="26">
        <f>4.2*0.5</f>
        <v>2.1</v>
      </c>
      <c r="E180" s="64">
        <f>C180*D180/1000</f>
        <v>2.9840999999999998</v>
      </c>
      <c r="F180" s="64">
        <f>M7</f>
        <v>62.24799025578562</v>
      </c>
      <c r="G180" s="54">
        <f>E180*F180*1.42*1.15*1.302</f>
        <v>394.94432333939017</v>
      </c>
      <c r="H180" s="11"/>
      <c r="J180"/>
      <c r="K180" s="20"/>
      <c r="L180" s="20"/>
      <c r="M180" s="21"/>
      <c r="N180"/>
      <c r="O180"/>
      <c r="Q180"/>
      <c r="R180"/>
      <c r="S180"/>
      <c r="T180"/>
      <c r="U180"/>
      <c r="V180"/>
      <c r="W180"/>
      <c r="X180"/>
      <c r="Y180"/>
      <c r="Z180"/>
      <c r="AA180"/>
      <c r="AB180"/>
    </row>
    <row r="181" spans="1:28" s="1" customFormat="1" ht="13.5" thickBot="1">
      <c r="A181" s="9" t="s">
        <v>11</v>
      </c>
      <c r="B181" s="10" t="s">
        <v>42</v>
      </c>
      <c r="C181" s="10" t="s">
        <v>0</v>
      </c>
      <c r="D181" s="10" t="s">
        <v>1</v>
      </c>
      <c r="E181" s="10" t="s">
        <v>43</v>
      </c>
      <c r="F181" s="10" t="s">
        <v>47</v>
      </c>
      <c r="G181" s="12" t="s">
        <v>145</v>
      </c>
      <c r="H181" s="12"/>
      <c r="Q181"/>
      <c r="R181"/>
      <c r="S181"/>
      <c r="T181"/>
      <c r="U181"/>
      <c r="V181"/>
      <c r="W181"/>
      <c r="X181"/>
      <c r="Y181"/>
      <c r="Z181"/>
      <c r="AA181"/>
      <c r="AB181"/>
    </row>
    <row r="182" spans="1:28" s="1" customFormat="1" ht="13.5" thickBot="1">
      <c r="A182" s="4" t="s">
        <v>103</v>
      </c>
      <c r="B182" s="26" t="s">
        <v>30</v>
      </c>
      <c r="C182" s="2">
        <f>C180</f>
        <v>1421</v>
      </c>
      <c r="D182" s="5">
        <v>0.032</v>
      </c>
      <c r="E182" s="64">
        <f>C182*D182/1000</f>
        <v>0.045472</v>
      </c>
      <c r="F182" s="78">
        <v>3500</v>
      </c>
      <c r="G182" s="54">
        <f>E182*F182</f>
        <v>159.152</v>
      </c>
      <c r="H182" s="2"/>
      <c r="J182"/>
      <c r="K182" s="20"/>
      <c r="L182" s="20"/>
      <c r="M182" s="21"/>
      <c r="N182"/>
      <c r="O182"/>
      <c r="Q182"/>
      <c r="R182"/>
      <c r="S182"/>
      <c r="T182"/>
      <c r="U182"/>
      <c r="V182"/>
      <c r="W182"/>
      <c r="X182"/>
      <c r="Y182"/>
      <c r="Z182"/>
      <c r="AA182"/>
      <c r="AB182"/>
    </row>
    <row r="183" spans="1:28" s="1" customFormat="1" ht="27" thickBot="1">
      <c r="A183" s="4" t="s">
        <v>104</v>
      </c>
      <c r="B183" s="26" t="s">
        <v>102</v>
      </c>
      <c r="C183" s="2">
        <f>C180</f>
        <v>1421</v>
      </c>
      <c r="D183" s="5">
        <v>0.006</v>
      </c>
      <c r="E183" s="64">
        <f>C183*D183/1000</f>
        <v>0.008526</v>
      </c>
      <c r="F183" s="78">
        <v>2300</v>
      </c>
      <c r="G183" s="54">
        <f>E183*F183</f>
        <v>19.6098</v>
      </c>
      <c r="H183" s="2"/>
      <c r="J183"/>
      <c r="K183" s="20"/>
      <c r="L183" s="20"/>
      <c r="M183" s="21"/>
      <c r="N183"/>
      <c r="O183"/>
      <c r="Q183"/>
      <c r="R183"/>
      <c r="S183"/>
      <c r="T183"/>
      <c r="U183"/>
      <c r="V183"/>
      <c r="W183"/>
      <c r="X183"/>
      <c r="Y183"/>
      <c r="Z183"/>
      <c r="AA183"/>
      <c r="AB183"/>
    </row>
    <row r="184" spans="1:28" s="1" customFormat="1" ht="13.5" thickBot="1">
      <c r="A184" s="4" t="s">
        <v>209</v>
      </c>
      <c r="B184" s="26"/>
      <c r="C184" s="2"/>
      <c r="D184" s="5"/>
      <c r="E184" s="64"/>
      <c r="F184" s="78"/>
      <c r="G184" s="54">
        <f>E180*спецодежда!G35</f>
        <v>5.121423796104566</v>
      </c>
      <c r="H184" s="2"/>
      <c r="J184"/>
      <c r="K184" s="20"/>
      <c r="L184" s="20"/>
      <c r="M184" s="21"/>
      <c r="N184"/>
      <c r="O184"/>
      <c r="Q184"/>
      <c r="R184"/>
      <c r="S184"/>
      <c r="T184"/>
      <c r="U184"/>
      <c r="V184"/>
      <c r="W184"/>
      <c r="X184"/>
      <c r="Y184"/>
      <c r="Z184"/>
      <c r="AA184"/>
      <c r="AB184"/>
    </row>
    <row r="185" spans="1:28" s="1" customFormat="1" ht="15">
      <c r="A185" s="9" t="s">
        <v>48</v>
      </c>
      <c r="B185" s="10"/>
      <c r="C185" s="10"/>
      <c r="D185" s="10"/>
      <c r="E185" s="10"/>
      <c r="F185" s="10"/>
      <c r="G185" s="66">
        <f>G180+G182+G183+G184</f>
        <v>578.8275471354947</v>
      </c>
      <c r="H185" s="41">
        <f>G185/B5/12</f>
        <v>0.03394484794367198</v>
      </c>
      <c r="J185"/>
      <c r="N185"/>
      <c r="O185"/>
      <c r="Q185"/>
      <c r="R185"/>
      <c r="S185"/>
      <c r="T185"/>
      <c r="U185"/>
      <c r="V185"/>
      <c r="W185"/>
      <c r="X185"/>
      <c r="Y185"/>
      <c r="Z185"/>
      <c r="AA185"/>
      <c r="AB185"/>
    </row>
    <row r="187" spans="1:28" s="1" customFormat="1" ht="39.75" customHeight="1">
      <c r="A187" s="167" t="s">
        <v>251</v>
      </c>
      <c r="B187" s="168"/>
      <c r="C187" s="169" t="s">
        <v>235</v>
      </c>
      <c r="D187" s="170"/>
      <c r="E187" s="170"/>
      <c r="F187" s="170"/>
      <c r="G187" s="170"/>
      <c r="H187" s="170"/>
      <c r="Q187"/>
      <c r="R187"/>
      <c r="S187"/>
      <c r="T187"/>
      <c r="U187"/>
      <c r="V187"/>
      <c r="W187"/>
      <c r="X187"/>
      <c r="Y187"/>
      <c r="Z187"/>
      <c r="AA187"/>
      <c r="AB187"/>
    </row>
    <row r="188" spans="1:28" s="1" customFormat="1" ht="91.5" customHeight="1" thickBot="1">
      <c r="A188" s="13" t="s">
        <v>3</v>
      </c>
      <c r="B188" s="13" t="s">
        <v>4</v>
      </c>
      <c r="C188" s="13" t="s">
        <v>0</v>
      </c>
      <c r="D188" s="13" t="s">
        <v>1</v>
      </c>
      <c r="E188" s="13" t="s">
        <v>5</v>
      </c>
      <c r="F188" s="14" t="s">
        <v>46</v>
      </c>
      <c r="G188" s="14" t="s">
        <v>225</v>
      </c>
      <c r="H188" s="14" t="s">
        <v>49</v>
      </c>
      <c r="Q188"/>
      <c r="R188"/>
      <c r="S188"/>
      <c r="T188"/>
      <c r="U188"/>
      <c r="V188"/>
      <c r="W188"/>
      <c r="X188"/>
      <c r="Y188"/>
      <c r="Z188"/>
      <c r="AA188"/>
      <c r="AB188"/>
    </row>
    <row r="189" spans="1:28" s="1" customFormat="1" ht="39.75" thickBot="1">
      <c r="A189" s="3" t="s">
        <v>227</v>
      </c>
      <c r="B189" s="59">
        <v>3</v>
      </c>
      <c r="C189" s="2">
        <f>B5</f>
        <v>1421</v>
      </c>
      <c r="D189" s="26">
        <f>22*0.5</f>
        <v>11</v>
      </c>
      <c r="E189" s="64">
        <f>C189*D189/1000</f>
        <v>15.631</v>
      </c>
      <c r="F189" s="64">
        <f>M7</f>
        <v>62.24799025578562</v>
      </c>
      <c r="G189" s="54">
        <f>E189*F189*1.4*1.15*1.302</f>
        <v>2039.6185712362872</v>
      </c>
      <c r="H189" s="11"/>
      <c r="J189"/>
      <c r="K189" s="20"/>
      <c r="L189" s="20"/>
      <c r="M189" s="21"/>
      <c r="N189"/>
      <c r="O189"/>
      <c r="Q189"/>
      <c r="R189"/>
      <c r="S189"/>
      <c r="T189"/>
      <c r="U189"/>
      <c r="V189"/>
      <c r="W189"/>
      <c r="X189"/>
      <c r="Y189"/>
      <c r="Z189"/>
      <c r="AA189"/>
      <c r="AB189"/>
    </row>
    <row r="190" spans="1:28" s="1" customFormat="1" ht="13.5" thickBot="1">
      <c r="A190" s="9" t="s">
        <v>11</v>
      </c>
      <c r="B190" s="10" t="s">
        <v>42</v>
      </c>
      <c r="C190" s="10" t="s">
        <v>0</v>
      </c>
      <c r="D190" s="10" t="s">
        <v>1</v>
      </c>
      <c r="E190" s="10" t="s">
        <v>43</v>
      </c>
      <c r="F190" s="10" t="s">
        <v>47</v>
      </c>
      <c r="G190" s="12" t="s">
        <v>145</v>
      </c>
      <c r="H190" s="12"/>
      <c r="Q190"/>
      <c r="R190"/>
      <c r="S190"/>
      <c r="T190"/>
      <c r="U190"/>
      <c r="V190"/>
      <c r="W190"/>
      <c r="X190"/>
      <c r="Y190"/>
      <c r="Z190"/>
      <c r="AA190"/>
      <c r="AB190"/>
    </row>
    <row r="191" spans="1:28" s="1" customFormat="1" ht="13.5" thickBot="1">
      <c r="A191" s="4" t="s">
        <v>109</v>
      </c>
      <c r="B191" s="26" t="s">
        <v>36</v>
      </c>
      <c r="C191" s="2">
        <f>C189</f>
        <v>1421</v>
      </c>
      <c r="D191" s="5">
        <v>0.013</v>
      </c>
      <c r="E191" s="64">
        <f>C191*D191/1000</f>
        <v>0.018473</v>
      </c>
      <c r="F191" s="78">
        <v>102</v>
      </c>
      <c r="G191" s="54">
        <f>E191*F191</f>
        <v>1.884246</v>
      </c>
      <c r="H191" s="2"/>
      <c r="J191"/>
      <c r="K191" s="20"/>
      <c r="L191" s="20"/>
      <c r="M191" s="21"/>
      <c r="N191"/>
      <c r="O191"/>
      <c r="Q191"/>
      <c r="R191"/>
      <c r="S191"/>
      <c r="T191"/>
      <c r="U191"/>
      <c r="V191"/>
      <c r="W191"/>
      <c r="X191"/>
      <c r="Y191"/>
      <c r="Z191"/>
      <c r="AA191"/>
      <c r="AB191"/>
    </row>
    <row r="192" spans="1:28" s="1" customFormat="1" ht="13.5" thickBot="1">
      <c r="A192" s="4" t="s">
        <v>110</v>
      </c>
      <c r="B192" s="26" t="s">
        <v>36</v>
      </c>
      <c r="C192" s="2">
        <f>C189</f>
        <v>1421</v>
      </c>
      <c r="D192" s="5">
        <v>0.315</v>
      </c>
      <c r="E192" s="64">
        <f>C192*D192/1000</f>
        <v>0.447615</v>
      </c>
      <c r="F192" s="78">
        <v>105</v>
      </c>
      <c r="G192" s="54">
        <f>E192*F192</f>
        <v>46.999575</v>
      </c>
      <c r="H192" s="2"/>
      <c r="J192"/>
      <c r="K192" s="20"/>
      <c r="L192" s="20"/>
      <c r="M192" s="21"/>
      <c r="N192"/>
      <c r="O192"/>
      <c r="Q192"/>
      <c r="R192"/>
      <c r="S192"/>
      <c r="T192"/>
      <c r="U192"/>
      <c r="V192"/>
      <c r="W192"/>
      <c r="X192"/>
      <c r="Y192"/>
      <c r="Z192"/>
      <c r="AA192"/>
      <c r="AB192"/>
    </row>
    <row r="193" spans="1:28" s="1" customFormat="1" ht="13.5" thickBot="1">
      <c r="A193" s="4" t="s">
        <v>209</v>
      </c>
      <c r="B193" s="26"/>
      <c r="C193" s="2"/>
      <c r="D193" s="5"/>
      <c r="E193" s="64"/>
      <c r="F193" s="78"/>
      <c r="G193" s="54">
        <f>E189*спецодежда!G48</f>
        <v>59.33244067942132</v>
      </c>
      <c r="H193" s="2"/>
      <c r="J193"/>
      <c r="K193" s="20"/>
      <c r="L193" s="20"/>
      <c r="M193" s="21"/>
      <c r="N193"/>
      <c r="O193"/>
      <c r="Q193"/>
      <c r="R193"/>
      <c r="S193"/>
      <c r="T193"/>
      <c r="U193"/>
      <c r="V193"/>
      <c r="W193"/>
      <c r="X193"/>
      <c r="Y193"/>
      <c r="Z193"/>
      <c r="AA193"/>
      <c r="AB193"/>
    </row>
    <row r="194" spans="1:28" s="1" customFormat="1" ht="15">
      <c r="A194" s="9" t="s">
        <v>48</v>
      </c>
      <c r="B194" s="10"/>
      <c r="C194" s="10"/>
      <c r="D194" s="10"/>
      <c r="E194" s="10"/>
      <c r="F194" s="10"/>
      <c r="G194" s="66">
        <f>G189+G191+G192+G193</f>
        <v>2147.8348329157084</v>
      </c>
      <c r="H194" s="41">
        <f>G194/B5/12</f>
        <v>0.12595794234785998</v>
      </c>
      <c r="J194"/>
      <c r="N194"/>
      <c r="O194"/>
      <c r="Q194"/>
      <c r="R194"/>
      <c r="S194"/>
      <c r="T194"/>
      <c r="U194"/>
      <c r="V194"/>
      <c r="W194"/>
      <c r="X194"/>
      <c r="Y194"/>
      <c r="Z194"/>
      <c r="AA194"/>
      <c r="AB194"/>
    </row>
    <row r="195" spans="1:28" s="1" customFormat="1" ht="12.75">
      <c r="A195" s="36"/>
      <c r="B195" s="36"/>
      <c r="D195" s="36"/>
      <c r="Q195"/>
      <c r="R195"/>
      <c r="S195"/>
      <c r="T195"/>
      <c r="U195"/>
      <c r="V195"/>
      <c r="W195"/>
      <c r="X195"/>
      <c r="Y195"/>
      <c r="Z195"/>
      <c r="AA195"/>
      <c r="AB195"/>
    </row>
    <row r="196" spans="1:28" s="1" customFormat="1" ht="12.75">
      <c r="A196" s="173" t="s">
        <v>252</v>
      </c>
      <c r="B196" s="174"/>
      <c r="C196" s="174"/>
      <c r="D196" s="174"/>
      <c r="E196" s="174"/>
      <c r="F196" s="174"/>
      <c r="G196" s="174"/>
      <c r="H196" s="174"/>
      <c r="Q196"/>
      <c r="R196"/>
      <c r="S196"/>
      <c r="T196"/>
      <c r="U196"/>
      <c r="V196"/>
      <c r="W196"/>
      <c r="X196"/>
      <c r="Y196"/>
      <c r="Z196"/>
      <c r="AA196"/>
      <c r="AB196"/>
    </row>
    <row r="197" spans="1:8" ht="28.5" customHeight="1">
      <c r="A197" s="97" t="s">
        <v>264</v>
      </c>
      <c r="B197" s="38"/>
      <c r="C197" s="38"/>
      <c r="D197" s="38"/>
      <c r="E197" s="38"/>
      <c r="F197" s="38"/>
      <c r="G197" s="38"/>
      <c r="H197" s="38"/>
    </row>
    <row r="198" spans="1:8" ht="26.25">
      <c r="A198" s="13" t="s">
        <v>263</v>
      </c>
      <c r="B198" s="10"/>
      <c r="C198" s="10"/>
      <c r="D198" s="10"/>
      <c r="E198" s="10"/>
      <c r="F198" s="10"/>
      <c r="G198" s="12"/>
      <c r="H198" s="96" t="s">
        <v>49</v>
      </c>
    </row>
    <row r="199" spans="1:28" s="1" customFormat="1" ht="12.75">
      <c r="A199" s="32" t="s">
        <v>113</v>
      </c>
      <c r="B199" s="33"/>
      <c r="C199" s="33"/>
      <c r="D199" s="33"/>
      <c r="E199" s="35"/>
      <c r="F199" s="33"/>
      <c r="G199" s="34"/>
      <c r="H199" s="33">
        <v>1.46</v>
      </c>
      <c r="Q199"/>
      <c r="R199"/>
      <c r="S199"/>
      <c r="T199"/>
      <c r="U199"/>
      <c r="V199"/>
      <c r="W199"/>
      <c r="X199"/>
      <c r="Y199"/>
      <c r="Z199"/>
      <c r="AA199"/>
      <c r="AB199"/>
    </row>
    <row r="200" spans="1:28" s="1" customFormat="1" ht="12.75">
      <c r="A200" s="32" t="s">
        <v>114</v>
      </c>
      <c r="B200" s="33"/>
      <c r="C200" s="33"/>
      <c r="D200" s="33"/>
      <c r="E200" s="35"/>
      <c r="F200" s="33"/>
      <c r="G200" s="34"/>
      <c r="H200" s="33">
        <v>0.27</v>
      </c>
      <c r="Q200"/>
      <c r="R200"/>
      <c r="S200"/>
      <c r="T200"/>
      <c r="U200"/>
      <c r="V200"/>
      <c r="W200"/>
      <c r="X200"/>
      <c r="Y200"/>
      <c r="Z200"/>
      <c r="AA200"/>
      <c r="AB200"/>
    </row>
    <row r="201" spans="1:28" s="1" customFormat="1" ht="15">
      <c r="A201" s="9" t="s">
        <v>48</v>
      </c>
      <c r="B201" s="10"/>
      <c r="C201" s="10"/>
      <c r="D201" s="10"/>
      <c r="E201" s="10"/>
      <c r="F201" s="10"/>
      <c r="G201" s="12"/>
      <c r="H201" s="41">
        <f>H199+H200</f>
        <v>1.73</v>
      </c>
      <c r="Q201"/>
      <c r="R201"/>
      <c r="S201"/>
      <c r="T201"/>
      <c r="U201"/>
      <c r="V201"/>
      <c r="W201"/>
      <c r="X201"/>
      <c r="Y201"/>
      <c r="Z201"/>
      <c r="AA201"/>
      <c r="AB201"/>
    </row>
    <row r="203" spans="1:28" s="1" customFormat="1" ht="12.75">
      <c r="A203" s="173" t="s">
        <v>254</v>
      </c>
      <c r="B203" s="174"/>
      <c r="C203" s="174"/>
      <c r="D203" s="174"/>
      <c r="E203" s="174"/>
      <c r="F203" s="174"/>
      <c r="G203" s="174"/>
      <c r="H203" s="174"/>
      <c r="Q203"/>
      <c r="R203"/>
      <c r="S203"/>
      <c r="T203"/>
      <c r="U203"/>
      <c r="V203"/>
      <c r="W203"/>
      <c r="X203"/>
      <c r="Y203"/>
      <c r="Z203"/>
      <c r="AA203"/>
      <c r="AB203"/>
    </row>
    <row r="204" spans="1:28" s="1" customFormat="1" ht="12.75">
      <c r="A204" s="37"/>
      <c r="B204" s="38"/>
      <c r="C204" s="38"/>
      <c r="D204" s="38"/>
      <c r="E204" s="38"/>
      <c r="F204" s="38"/>
      <c r="G204" s="38"/>
      <c r="H204" s="38"/>
      <c r="Q204"/>
      <c r="R204"/>
      <c r="S204"/>
      <c r="T204"/>
      <c r="U204"/>
      <c r="V204"/>
      <c r="W204"/>
      <c r="X204"/>
      <c r="Y204"/>
      <c r="Z204"/>
      <c r="AA204"/>
      <c r="AB204"/>
    </row>
    <row r="205" spans="1:28" s="1" customFormat="1" ht="39.75" thickBot="1">
      <c r="A205" s="13" t="s">
        <v>139</v>
      </c>
      <c r="B205" s="13" t="s">
        <v>140</v>
      </c>
      <c r="C205" s="14" t="s">
        <v>141</v>
      </c>
      <c r="D205" s="14" t="s">
        <v>142</v>
      </c>
      <c r="E205" s="13"/>
      <c r="F205" s="14"/>
      <c r="G205" s="14" t="s">
        <v>143</v>
      </c>
      <c r="H205" s="14" t="s">
        <v>49</v>
      </c>
      <c r="Q205"/>
      <c r="R205"/>
      <c r="S205"/>
      <c r="T205"/>
      <c r="U205"/>
      <c r="V205"/>
      <c r="W205"/>
      <c r="X205"/>
      <c r="Y205"/>
      <c r="Z205"/>
      <c r="AA205"/>
      <c r="AB205"/>
    </row>
    <row r="206" spans="1:28" s="1" customFormat="1" ht="13.5" thickBot="1">
      <c r="A206" s="4" t="s">
        <v>117</v>
      </c>
      <c r="B206" s="26">
        <v>0.51</v>
      </c>
      <c r="C206" s="2">
        <f>B10</f>
        <v>349</v>
      </c>
      <c r="D206" s="5">
        <v>2</v>
      </c>
      <c r="E206" s="64"/>
      <c r="F206" s="78"/>
      <c r="G206" s="54">
        <f>B206*C206*D206</f>
        <v>355.98</v>
      </c>
      <c r="H206" s="2"/>
      <c r="J206"/>
      <c r="K206" s="20"/>
      <c r="L206" s="20"/>
      <c r="M206" s="21"/>
      <c r="N206"/>
      <c r="O206"/>
      <c r="Q206"/>
      <c r="R206"/>
      <c r="S206"/>
      <c r="T206"/>
      <c r="U206"/>
      <c r="V206"/>
      <c r="W206"/>
      <c r="X206"/>
      <c r="Y206"/>
      <c r="Z206"/>
      <c r="AA206"/>
      <c r="AB206"/>
    </row>
    <row r="207" spans="1:28" s="1" customFormat="1" ht="13.5" thickBot="1">
      <c r="A207" s="4" t="s">
        <v>118</v>
      </c>
      <c r="B207" s="26">
        <v>1.68</v>
      </c>
      <c r="C207" s="2">
        <f>C206</f>
        <v>349</v>
      </c>
      <c r="D207" s="5">
        <v>2</v>
      </c>
      <c r="E207" s="64"/>
      <c r="F207" s="78"/>
      <c r="G207" s="54">
        <f>B207*C207*D207</f>
        <v>1172.6399999999999</v>
      </c>
      <c r="H207" s="2"/>
      <c r="J207"/>
      <c r="K207" s="20"/>
      <c r="L207" s="20"/>
      <c r="M207" s="21"/>
      <c r="N207"/>
      <c r="O207"/>
      <c r="Q207"/>
      <c r="R207"/>
      <c r="S207"/>
      <c r="T207"/>
      <c r="U207"/>
      <c r="V207"/>
      <c r="W207"/>
      <c r="X207"/>
      <c r="Y207"/>
      <c r="Z207"/>
      <c r="AA207"/>
      <c r="AB207"/>
    </row>
    <row r="208" spans="1:28" s="1" customFormat="1" ht="15">
      <c r="A208" s="9" t="s">
        <v>48</v>
      </c>
      <c r="B208" s="10"/>
      <c r="C208" s="10"/>
      <c r="D208" s="10"/>
      <c r="E208" s="10"/>
      <c r="F208" s="10"/>
      <c r="G208" s="66">
        <f>G206+G207</f>
        <v>1528.62</v>
      </c>
      <c r="H208" s="41">
        <f>G208/B5/12</f>
        <v>0.08964461646727656</v>
      </c>
      <c r="J208"/>
      <c r="N208"/>
      <c r="O208"/>
      <c r="Q208"/>
      <c r="R208"/>
      <c r="S208"/>
      <c r="T208"/>
      <c r="U208"/>
      <c r="V208"/>
      <c r="W208"/>
      <c r="X208"/>
      <c r="Y208"/>
      <c r="Z208"/>
      <c r="AA208"/>
      <c r="AB208"/>
    </row>
    <row r="210" spans="1:28" s="1" customFormat="1" ht="12.75">
      <c r="A210" s="173" t="s">
        <v>256</v>
      </c>
      <c r="B210" s="174"/>
      <c r="C210" s="174"/>
      <c r="D210" s="174"/>
      <c r="E210" s="174"/>
      <c r="F210" s="174"/>
      <c r="G210" s="174"/>
      <c r="H210" s="174"/>
      <c r="Q210"/>
      <c r="R210"/>
      <c r="S210"/>
      <c r="T210"/>
      <c r="U210"/>
      <c r="V210"/>
      <c r="W210"/>
      <c r="X210"/>
      <c r="Y210"/>
      <c r="Z210"/>
      <c r="AA210"/>
      <c r="AB210"/>
    </row>
    <row r="212" spans="1:28" s="1" customFormat="1" ht="13.5">
      <c r="A212" s="43" t="s">
        <v>119</v>
      </c>
      <c r="B212" s="44" t="s">
        <v>120</v>
      </c>
      <c r="C212" s="45" t="s">
        <v>121</v>
      </c>
      <c r="D212" s="44" t="s">
        <v>122</v>
      </c>
      <c r="E212" s="45" t="s">
        <v>123</v>
      </c>
      <c r="F212" s="44" t="s">
        <v>124</v>
      </c>
      <c r="G212" s="46" t="s">
        <v>134</v>
      </c>
      <c r="Q212"/>
      <c r="R212"/>
      <c r="S212"/>
      <c r="T212"/>
      <c r="U212"/>
      <c r="V212"/>
      <c r="W212"/>
      <c r="X212"/>
      <c r="Y212"/>
      <c r="Z212"/>
      <c r="AA212"/>
      <c r="AB212"/>
    </row>
    <row r="213" spans="1:28" s="1" customFormat="1" ht="13.5">
      <c r="A213" s="47"/>
      <c r="B213" s="48" t="s">
        <v>125</v>
      </c>
      <c r="C213" s="49"/>
      <c r="D213" s="50">
        <v>0.302</v>
      </c>
      <c r="E213" s="51"/>
      <c r="F213" s="48" t="s">
        <v>126</v>
      </c>
      <c r="G213" s="52"/>
      <c r="Q213"/>
      <c r="R213"/>
      <c r="S213"/>
      <c r="T213"/>
      <c r="U213"/>
      <c r="V213"/>
      <c r="W213"/>
      <c r="X213"/>
      <c r="Y213"/>
      <c r="Z213"/>
      <c r="AA213"/>
      <c r="AB213"/>
    </row>
    <row r="214" spans="1:28" s="1" customFormat="1" ht="12.75">
      <c r="A214" s="2" t="s">
        <v>127</v>
      </c>
      <c r="B214" s="11">
        <f>2/400000*$B$4</f>
        <v>0.0095425</v>
      </c>
      <c r="C214" s="53">
        <v>40000</v>
      </c>
      <c r="D214" s="54">
        <f>SUM(C214*D213)</f>
        <v>12080</v>
      </c>
      <c r="E214" s="54">
        <f>SUM(C214:D214)</f>
        <v>52080</v>
      </c>
      <c r="F214" s="11">
        <f>SUM(E214*B214)</f>
        <v>496.9734</v>
      </c>
      <c r="G214" s="55">
        <f>F214/$B$5</f>
        <v>0.34973497536945813</v>
      </c>
      <c r="Q214"/>
      <c r="R214"/>
      <c r="S214"/>
      <c r="T214"/>
      <c r="U214"/>
      <c r="V214"/>
      <c r="W214"/>
      <c r="X214"/>
      <c r="Y214"/>
      <c r="Z214"/>
      <c r="AA214"/>
      <c r="AB214"/>
    </row>
    <row r="215" spans="1:28" s="1" customFormat="1" ht="12.75">
      <c r="A215" s="2" t="s">
        <v>128</v>
      </c>
      <c r="B215" s="11">
        <f>2/400000*$B$4</f>
        <v>0.0095425</v>
      </c>
      <c r="C215" s="53">
        <v>25000</v>
      </c>
      <c r="D215" s="54">
        <f>SUM(C215*D213)</f>
        <v>7550</v>
      </c>
      <c r="E215" s="54">
        <f aca="true" t="shared" si="17" ref="E215:E221">SUM(C215:D215)</f>
        <v>32550</v>
      </c>
      <c r="F215" s="11">
        <f aca="true" t="shared" si="18" ref="F215:F221">SUM(E215*B215)</f>
        <v>310.608375</v>
      </c>
      <c r="G215" s="55">
        <f aca="true" t="shared" si="19" ref="G215:G221">F215/$B$5</f>
        <v>0.21858435960591135</v>
      </c>
      <c r="Q215"/>
      <c r="R215"/>
      <c r="S215"/>
      <c r="T215"/>
      <c r="U215"/>
      <c r="V215"/>
      <c r="W215"/>
      <c r="X215"/>
      <c r="Y215"/>
      <c r="Z215"/>
      <c r="AA215"/>
      <c r="AB215"/>
    </row>
    <row r="216" spans="1:28" s="1" customFormat="1" ht="12.75">
      <c r="A216" s="2" t="s">
        <v>129</v>
      </c>
      <c r="B216" s="11">
        <f>2/400000*$B$4</f>
        <v>0.0095425</v>
      </c>
      <c r="C216" s="53">
        <v>25000</v>
      </c>
      <c r="D216" s="54">
        <f>SUM(C216*D213)</f>
        <v>7550</v>
      </c>
      <c r="E216" s="54">
        <f t="shared" si="17"/>
        <v>32550</v>
      </c>
      <c r="F216" s="11">
        <f t="shared" si="18"/>
        <v>310.608375</v>
      </c>
      <c r="G216" s="55">
        <f t="shared" si="19"/>
        <v>0.21858435960591135</v>
      </c>
      <c r="Q216"/>
      <c r="R216"/>
      <c r="S216"/>
      <c r="T216"/>
      <c r="U216"/>
      <c r="V216"/>
      <c r="W216"/>
      <c r="X216"/>
      <c r="Y216"/>
      <c r="Z216"/>
      <c r="AA216"/>
      <c r="AB216"/>
    </row>
    <row r="217" spans="1:28" s="1" customFormat="1" ht="12.75">
      <c r="A217" s="2" t="s">
        <v>229</v>
      </c>
      <c r="B217" s="11">
        <f>2/400000*$B$4</f>
        <v>0.0095425</v>
      </c>
      <c r="C217" s="53">
        <v>20000</v>
      </c>
      <c r="D217" s="54">
        <f>SUM(C217*D213)</f>
        <v>6040</v>
      </c>
      <c r="E217" s="54">
        <f t="shared" si="17"/>
        <v>26040</v>
      </c>
      <c r="F217" s="11">
        <f t="shared" si="18"/>
        <v>248.4867</v>
      </c>
      <c r="G217" s="55">
        <f t="shared" si="19"/>
        <v>0.17486748768472907</v>
      </c>
      <c r="Q217"/>
      <c r="R217"/>
      <c r="S217"/>
      <c r="T217"/>
      <c r="U217"/>
      <c r="V217"/>
      <c r="W217"/>
      <c r="X217"/>
      <c r="Y217"/>
      <c r="Z217"/>
      <c r="AA217"/>
      <c r="AB217"/>
    </row>
    <row r="218" spans="1:28" s="1" customFormat="1" ht="12.75">
      <c r="A218" s="2" t="s">
        <v>130</v>
      </c>
      <c r="B218" s="11">
        <f>2/400000*$B$4</f>
        <v>0.0095425</v>
      </c>
      <c r="C218" s="53">
        <v>20000</v>
      </c>
      <c r="D218" s="54">
        <f>SUM(C218*D213)</f>
        <v>6040</v>
      </c>
      <c r="E218" s="54">
        <f t="shared" si="17"/>
        <v>26040</v>
      </c>
      <c r="F218" s="11">
        <f>SUM(E218*B218)</f>
        <v>248.4867</v>
      </c>
      <c r="G218" s="55">
        <f t="shared" si="19"/>
        <v>0.17486748768472907</v>
      </c>
      <c r="Q218"/>
      <c r="R218"/>
      <c r="S218"/>
      <c r="T218"/>
      <c r="U218"/>
      <c r="V218"/>
      <c r="W218"/>
      <c r="X218"/>
      <c r="Y218"/>
      <c r="Z218"/>
      <c r="AA218"/>
      <c r="AB218"/>
    </row>
    <row r="219" spans="1:28" s="1" customFormat="1" ht="12.75">
      <c r="A219" s="2" t="s">
        <v>131</v>
      </c>
      <c r="B219" s="42">
        <f>1/400000*$B$4</f>
        <v>0.00477125</v>
      </c>
      <c r="C219" s="53">
        <v>20000</v>
      </c>
      <c r="D219" s="54">
        <f>SUM(C219*D213)</f>
        <v>6040</v>
      </c>
      <c r="E219" s="54">
        <f t="shared" si="17"/>
        <v>26040</v>
      </c>
      <c r="F219" s="11">
        <f t="shared" si="18"/>
        <v>124.24335</v>
      </c>
      <c r="G219" s="55">
        <f t="shared" si="19"/>
        <v>0.08743374384236453</v>
      </c>
      <c r="Q219"/>
      <c r="R219"/>
      <c r="S219"/>
      <c r="T219"/>
      <c r="U219"/>
      <c r="V219"/>
      <c r="W219"/>
      <c r="X219"/>
      <c r="Y219"/>
      <c r="Z219"/>
      <c r="AA219"/>
      <c r="AB219"/>
    </row>
    <row r="220" spans="1:28" s="1" customFormat="1" ht="12.75">
      <c r="A220" s="2" t="s">
        <v>132</v>
      </c>
      <c r="B220" s="11">
        <f>2/400000*$B$4</f>
        <v>0.0095425</v>
      </c>
      <c r="C220" s="53">
        <v>20000</v>
      </c>
      <c r="D220" s="54">
        <f>SUM(C220*D213)</f>
        <v>6040</v>
      </c>
      <c r="E220" s="54">
        <f t="shared" si="17"/>
        <v>26040</v>
      </c>
      <c r="F220" s="11">
        <f t="shared" si="18"/>
        <v>248.4867</v>
      </c>
      <c r="G220" s="55">
        <f t="shared" si="19"/>
        <v>0.17486748768472907</v>
      </c>
      <c r="Q220"/>
      <c r="R220"/>
      <c r="S220"/>
      <c r="T220"/>
      <c r="U220"/>
      <c r="V220"/>
      <c r="W220"/>
      <c r="X220"/>
      <c r="Y220"/>
      <c r="Z220"/>
      <c r="AA220"/>
      <c r="AB220"/>
    </row>
    <row r="221" spans="1:28" s="1" customFormat="1" ht="12.75">
      <c r="A221" s="2" t="s">
        <v>133</v>
      </c>
      <c r="B221" s="11">
        <f>1/400000*$B$4</f>
        <v>0.00477125</v>
      </c>
      <c r="C221" s="53">
        <v>15000</v>
      </c>
      <c r="D221" s="54">
        <f>SUM(C221*D213)</f>
        <v>4530</v>
      </c>
      <c r="E221" s="54">
        <f t="shared" si="17"/>
        <v>19530</v>
      </c>
      <c r="F221" s="11">
        <f t="shared" si="18"/>
        <v>93.1825125</v>
      </c>
      <c r="G221" s="55">
        <f t="shared" si="19"/>
        <v>0.0655753078817734</v>
      </c>
      <c r="Q221"/>
      <c r="R221"/>
      <c r="S221"/>
      <c r="T221"/>
      <c r="U221"/>
      <c r="V221"/>
      <c r="W221"/>
      <c r="X221"/>
      <c r="Y221"/>
      <c r="Z221"/>
      <c r="AA221"/>
      <c r="AB221"/>
    </row>
    <row r="222" spans="1:7" ht="13.5">
      <c r="A222" s="56" t="s">
        <v>48</v>
      </c>
      <c r="B222" s="56">
        <f aca="true" t="shared" si="20" ref="B222:G222">SUM(B214:B221)</f>
        <v>0.06679750000000001</v>
      </c>
      <c r="C222" s="57">
        <f t="shared" si="20"/>
        <v>185000</v>
      </c>
      <c r="D222" s="57">
        <f t="shared" si="20"/>
        <v>55870</v>
      </c>
      <c r="E222" s="57">
        <f t="shared" si="20"/>
        <v>240870</v>
      </c>
      <c r="F222" s="57">
        <f t="shared" si="20"/>
        <v>2081.0761125</v>
      </c>
      <c r="G222" s="58">
        <f t="shared" si="20"/>
        <v>1.4645152093596059</v>
      </c>
    </row>
    <row r="224" spans="1:6" ht="12.75">
      <c r="A224" s="2" t="s">
        <v>135</v>
      </c>
      <c r="B224" s="2"/>
      <c r="C224" s="2"/>
      <c r="D224" s="2"/>
      <c r="E224" s="53">
        <f>SUM(F222*30%)</f>
        <v>624.32283375</v>
      </c>
      <c r="F224" s="11">
        <f>E224/B5</f>
        <v>0.43935456280788177</v>
      </c>
    </row>
    <row r="225" spans="1:6" ht="51" customHeight="1">
      <c r="A225" s="3" t="s">
        <v>136</v>
      </c>
      <c r="B225" s="182" t="s">
        <v>138</v>
      </c>
      <c r="C225" s="182"/>
      <c r="D225" s="182"/>
      <c r="E225" s="60">
        <f>14.18*0.03*B5</f>
        <v>604.4934</v>
      </c>
      <c r="F225" s="61">
        <f>E225/B5</f>
        <v>0.42539999999999994</v>
      </c>
    </row>
    <row r="226" spans="1:8" ht="15">
      <c r="A226" s="62" t="s">
        <v>137</v>
      </c>
      <c r="B226" s="2"/>
      <c r="C226" s="2"/>
      <c r="D226" s="2"/>
      <c r="E226" s="63">
        <f>SUM(E224:E225,F222)</f>
        <v>3309.8923462499997</v>
      </c>
      <c r="H226" s="41">
        <f>G222+F224+F225</f>
        <v>2.3292697721674873</v>
      </c>
    </row>
    <row r="228" spans="1:8" ht="12.75">
      <c r="A228" s="173" t="s">
        <v>257</v>
      </c>
      <c r="B228" s="174"/>
      <c r="C228" s="174"/>
      <c r="D228" s="174"/>
      <c r="E228" s="174"/>
      <c r="F228" s="174"/>
      <c r="G228" s="174"/>
      <c r="H228" s="174"/>
    </row>
    <row r="230" spans="1:8" ht="29.25" customHeight="1">
      <c r="A230" s="171" t="s">
        <v>223</v>
      </c>
      <c r="B230" s="180"/>
      <c r="C230" s="180"/>
      <c r="D230" s="180"/>
      <c r="E230" s="180"/>
      <c r="F230" s="180"/>
      <c r="G230" s="181"/>
      <c r="H230" s="41">
        <v>1.03</v>
      </c>
    </row>
    <row r="232" spans="1:8" ht="12.75">
      <c r="A232" s="173" t="s">
        <v>258</v>
      </c>
      <c r="B232" s="174"/>
      <c r="C232" s="174"/>
      <c r="D232" s="174"/>
      <c r="E232" s="174"/>
      <c r="F232" s="174"/>
      <c r="G232" s="174"/>
      <c r="H232" s="174"/>
    </row>
    <row r="234" spans="1:18" ht="38.25" customHeight="1">
      <c r="A234" s="171" t="s">
        <v>222</v>
      </c>
      <c r="B234" s="171"/>
      <c r="C234" s="171"/>
      <c r="D234" s="171"/>
      <c r="E234" s="171"/>
      <c r="F234" s="171"/>
      <c r="G234" s="172"/>
      <c r="H234" s="41">
        <f>14.18*0.27</f>
        <v>3.8286000000000002</v>
      </c>
      <c r="R234">
        <f>H234/17.77</f>
        <v>0.21545301069217784</v>
      </c>
    </row>
    <row r="237" ht="12.75">
      <c r="R237">
        <f>H234/24.39</f>
        <v>0.15697416974169742</v>
      </c>
    </row>
    <row r="238" ht="12.75">
      <c r="G238" s="1">
        <f>19.62*0.27</f>
        <v>5.2974000000000006</v>
      </c>
    </row>
  </sheetData>
  <sheetProtection/>
  <mergeCells count="40">
    <mergeCell ref="A63:B63"/>
    <mergeCell ref="C63:H63"/>
    <mergeCell ref="A1:B1"/>
    <mergeCell ref="K3:M3"/>
    <mergeCell ref="A11:H11"/>
    <mergeCell ref="A13:B13"/>
    <mergeCell ref="C13:H13"/>
    <mergeCell ref="A27:B27"/>
    <mergeCell ref="C27:H27"/>
    <mergeCell ref="A40:B40"/>
    <mergeCell ref="C40:H40"/>
    <mergeCell ref="A54:B54"/>
    <mergeCell ref="C54:H54"/>
    <mergeCell ref="A133:B133"/>
    <mergeCell ref="C133:H133"/>
    <mergeCell ref="A76:B76"/>
    <mergeCell ref="C76:H76"/>
    <mergeCell ref="A89:H89"/>
    <mergeCell ref="A92:H92"/>
    <mergeCell ref="A94:B94"/>
    <mergeCell ref="C187:H187"/>
    <mergeCell ref="A232:H232"/>
    <mergeCell ref="A234:G234"/>
    <mergeCell ref="A230:G230"/>
    <mergeCell ref="C94:H94"/>
    <mergeCell ref="A107:B107"/>
    <mergeCell ref="C107:H107"/>
    <mergeCell ref="A117:B117"/>
    <mergeCell ref="C117:H117"/>
    <mergeCell ref="C143:H143"/>
    <mergeCell ref="A90:F90"/>
    <mergeCell ref="A196:H196"/>
    <mergeCell ref="A203:H203"/>
    <mergeCell ref="A210:H210"/>
    <mergeCell ref="B225:D225"/>
    <mergeCell ref="A228:H228"/>
    <mergeCell ref="A143:B143"/>
    <mergeCell ref="A178:B178"/>
    <mergeCell ref="C178:H178"/>
    <mergeCell ref="A187:B187"/>
  </mergeCells>
  <printOptions horizontalCentered="1"/>
  <pageMargins left="0.7874015748031497" right="0.3937007874015748" top="0.7874015748031497" bottom="0.7874015748031497" header="0.11811023622047245" footer="0.11811023622047245"/>
  <pageSetup fitToHeight="6" horizontalDpi="600" verticalDpi="600" orientation="portrait" paperSize="9" scale="71" r:id="rId1"/>
  <rowBreaks count="4" manualBreakCount="4">
    <brk id="39" max="7" man="1"/>
    <brk id="88" max="7" man="1"/>
    <brk id="177" max="7" man="1"/>
    <brk id="20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83"/>
  <sheetViews>
    <sheetView zoomScalePageLayoutView="0" workbookViewId="0" topLeftCell="A70">
      <selection activeCell="G84" sqref="G84"/>
    </sheetView>
  </sheetViews>
  <sheetFormatPr defaultColWidth="9.00390625" defaultRowHeight="12.75"/>
  <cols>
    <col min="1" max="1" width="24.50390625" style="1" customWidth="1"/>
    <col min="2" max="2" width="8.625" style="1" bestFit="1" customWidth="1"/>
    <col min="3" max="3" width="11.875" style="71" customWidth="1"/>
    <col min="4" max="4" width="11.875" style="1" customWidth="1"/>
    <col min="5" max="5" width="0" style="1" hidden="1" customWidth="1"/>
    <col min="6" max="6" width="9.125" style="1" customWidth="1"/>
    <col min="7" max="7" width="11.625" style="1" customWidth="1"/>
  </cols>
  <sheetData>
    <row r="1" ht="15">
      <c r="A1" s="92" t="s">
        <v>212</v>
      </c>
    </row>
    <row r="2" ht="15">
      <c r="A2" s="92"/>
    </row>
    <row r="3" spans="1:3" ht="12.75">
      <c r="A3" s="1" t="s">
        <v>213</v>
      </c>
      <c r="B3" s="1">
        <v>1970</v>
      </c>
      <c r="C3" s="71" t="s">
        <v>214</v>
      </c>
    </row>
    <row r="5" spans="1:14" ht="39">
      <c r="A5" s="72" t="s">
        <v>146</v>
      </c>
      <c r="B5" s="73" t="s">
        <v>147</v>
      </c>
      <c r="C5" s="74" t="s">
        <v>148</v>
      </c>
      <c r="D5" s="73" t="s">
        <v>149</v>
      </c>
      <c r="F5" s="73" t="s">
        <v>210</v>
      </c>
      <c r="G5" s="73" t="s">
        <v>211</v>
      </c>
      <c r="M5">
        <v>1970</v>
      </c>
      <c r="N5" s="68" t="s">
        <v>208</v>
      </c>
    </row>
    <row r="6" spans="1:7" ht="12.75">
      <c r="A6" s="75" t="s">
        <v>14</v>
      </c>
      <c r="B6" s="76"/>
      <c r="C6" s="77"/>
      <c r="D6" s="76"/>
      <c r="F6" s="76"/>
      <c r="G6" s="76"/>
    </row>
    <row r="7" spans="1:7" ht="12.75">
      <c r="A7" s="3" t="s">
        <v>150</v>
      </c>
      <c r="B7" s="78">
        <f>3576.28/4</f>
        <v>894.07</v>
      </c>
      <c r="C7" s="79">
        <v>1</v>
      </c>
      <c r="D7" s="78">
        <f>B7*C7</f>
        <v>894.07</v>
      </c>
      <c r="F7" s="78"/>
      <c r="G7" s="78"/>
    </row>
    <row r="8" spans="1:7" ht="26.25">
      <c r="A8" s="3" t="s">
        <v>151</v>
      </c>
      <c r="B8" s="80">
        <v>794.92</v>
      </c>
      <c r="C8" s="79">
        <f>0.5</f>
        <v>0.5</v>
      </c>
      <c r="D8" s="80">
        <f aca="true" t="shared" si="0" ref="D8:D13">B8*C8</f>
        <v>397.46</v>
      </c>
      <c r="F8" s="80"/>
      <c r="G8" s="80"/>
    </row>
    <row r="9" spans="1:7" ht="11.25" customHeight="1">
      <c r="A9" s="3" t="s">
        <v>152</v>
      </c>
      <c r="B9" s="78">
        <f>12069.42/92</f>
        <v>131.18934782608696</v>
      </c>
      <c r="C9" s="79">
        <f>1</f>
        <v>1</v>
      </c>
      <c r="D9" s="78">
        <f t="shared" si="0"/>
        <v>131.18934782608696</v>
      </c>
      <c r="F9" s="78"/>
      <c r="G9" s="78"/>
    </row>
    <row r="10" spans="1:7" ht="11.25" customHeight="1">
      <c r="A10" s="3" t="s">
        <v>153</v>
      </c>
      <c r="B10" s="78">
        <f>3078.56/2</f>
        <v>1539.28</v>
      </c>
      <c r="C10" s="79">
        <v>0.5</v>
      </c>
      <c r="D10" s="78">
        <f t="shared" si="0"/>
        <v>769.64</v>
      </c>
      <c r="F10" s="78"/>
      <c r="G10" s="78"/>
    </row>
    <row r="11" spans="1:7" ht="12.75">
      <c r="A11" s="3" t="s">
        <v>154</v>
      </c>
      <c r="B11" s="78">
        <f>77658.75/66</f>
        <v>1176.6477272727273</v>
      </c>
      <c r="C11" s="79">
        <f>1/2.5</f>
        <v>0.4</v>
      </c>
      <c r="D11" s="78">
        <f t="shared" si="0"/>
        <v>470.65909090909093</v>
      </c>
      <c r="F11" s="78"/>
      <c r="G11" s="78"/>
    </row>
    <row r="12" spans="1:7" ht="12.75">
      <c r="A12" s="3" t="s">
        <v>155</v>
      </c>
      <c r="B12" s="78">
        <f>203.01/1</f>
        <v>203.01</v>
      </c>
      <c r="C12" s="79">
        <v>0.5</v>
      </c>
      <c r="D12" s="78">
        <f t="shared" si="0"/>
        <v>101.505</v>
      </c>
      <c r="F12" s="78"/>
      <c r="G12" s="78"/>
    </row>
    <row r="13" spans="1:7" ht="26.25">
      <c r="A13" s="3" t="s">
        <v>156</v>
      </c>
      <c r="B13" s="80">
        <f>3389.59/115</f>
        <v>29.474695652173914</v>
      </c>
      <c r="C13" s="79">
        <v>6</v>
      </c>
      <c r="D13" s="80">
        <f t="shared" si="0"/>
        <v>176.84817391304347</v>
      </c>
      <c r="F13" s="80"/>
      <c r="G13" s="80"/>
    </row>
    <row r="14" spans="1:7" ht="12.75">
      <c r="A14" s="81" t="s">
        <v>157</v>
      </c>
      <c r="B14" s="82"/>
      <c r="C14" s="83"/>
      <c r="D14" s="84">
        <f>SUM(D7:D13)</f>
        <v>2941.3716126482213</v>
      </c>
      <c r="F14" s="84">
        <f>D14*1.18</f>
        <v>3470.818502924901</v>
      </c>
      <c r="G14" s="84">
        <f>F14/B3</f>
        <v>1.7618368035151784</v>
      </c>
    </row>
    <row r="17" spans="1:7" ht="12.75">
      <c r="A17" s="75" t="s">
        <v>158</v>
      </c>
      <c r="B17" s="76"/>
      <c r="C17" s="77"/>
      <c r="D17" s="76"/>
      <c r="F17" s="76"/>
      <c r="G17" s="76"/>
    </row>
    <row r="18" spans="1:7" ht="12.75">
      <c r="A18" s="3" t="s">
        <v>159</v>
      </c>
      <c r="B18" s="26">
        <v>0</v>
      </c>
      <c r="C18" s="79">
        <v>1</v>
      </c>
      <c r="D18" s="26">
        <f aca="true" t="shared" si="1" ref="D18:D23">B18*C18</f>
        <v>0</v>
      </c>
      <c r="F18" s="26"/>
      <c r="G18" s="26"/>
    </row>
    <row r="19" spans="1:7" ht="12.75">
      <c r="A19" s="3" t="s">
        <v>160</v>
      </c>
      <c r="B19" s="72">
        <v>794.92</v>
      </c>
      <c r="C19" s="79">
        <v>1</v>
      </c>
      <c r="D19" s="26">
        <f t="shared" si="1"/>
        <v>794.92</v>
      </c>
      <c r="F19" s="26"/>
      <c r="G19" s="26"/>
    </row>
    <row r="20" spans="1:7" ht="26.25">
      <c r="A20" s="3" t="s">
        <v>156</v>
      </c>
      <c r="B20" s="72">
        <v>29.47</v>
      </c>
      <c r="C20" s="79">
        <v>6</v>
      </c>
      <c r="D20" s="72">
        <f t="shared" si="1"/>
        <v>176.82</v>
      </c>
      <c r="F20" s="72"/>
      <c r="G20" s="72"/>
    </row>
    <row r="21" spans="1:7" ht="12.75">
      <c r="A21" s="3" t="s">
        <v>161</v>
      </c>
      <c r="B21" s="72">
        <v>447.46</v>
      </c>
      <c r="C21" s="79">
        <v>1</v>
      </c>
      <c r="D21" s="26">
        <f t="shared" si="1"/>
        <v>447.46</v>
      </c>
      <c r="F21" s="26"/>
      <c r="G21" s="26"/>
    </row>
    <row r="22" spans="1:7" ht="12.75">
      <c r="A22" s="3" t="s">
        <v>162</v>
      </c>
      <c r="B22" s="72">
        <v>19.49</v>
      </c>
      <c r="C22" s="79">
        <v>4</v>
      </c>
      <c r="D22" s="26">
        <f t="shared" si="1"/>
        <v>77.96</v>
      </c>
      <c r="F22" s="26"/>
      <c r="G22" s="26"/>
    </row>
    <row r="23" spans="1:7" ht="26.25">
      <c r="A23" s="85" t="s">
        <v>163</v>
      </c>
      <c r="B23" s="72">
        <v>2135.59</v>
      </c>
      <c r="C23" s="79">
        <f>1/2</f>
        <v>0.5</v>
      </c>
      <c r="D23" s="86">
        <f t="shared" si="1"/>
        <v>1067.795</v>
      </c>
      <c r="F23" s="86"/>
      <c r="G23" s="86"/>
    </row>
    <row r="24" spans="1:7" ht="12" customHeight="1">
      <c r="A24" s="81" t="s">
        <v>157</v>
      </c>
      <c r="B24" s="82"/>
      <c r="C24" s="83"/>
      <c r="D24" s="84">
        <f>SUM(D18:D23)</f>
        <v>2564.955</v>
      </c>
      <c r="F24" s="84">
        <f>D24*1.18</f>
        <v>3026.6468999999997</v>
      </c>
      <c r="G24" s="84">
        <f>F24/B3</f>
        <v>1.5363689847715736</v>
      </c>
    </row>
    <row r="27" spans="1:7" ht="12.75">
      <c r="A27" s="75" t="s">
        <v>25</v>
      </c>
      <c r="B27" s="76"/>
      <c r="C27" s="77"/>
      <c r="D27" s="76"/>
      <c r="F27" s="76"/>
      <c r="G27" s="76"/>
    </row>
    <row r="28" spans="1:7" ht="25.5" customHeight="1">
      <c r="A28" s="87" t="s">
        <v>164</v>
      </c>
      <c r="B28" s="72">
        <v>894.07</v>
      </c>
      <c r="C28" s="79">
        <f>1/1.5</f>
        <v>0.6666666666666666</v>
      </c>
      <c r="D28" s="86">
        <f aca="true" t="shared" si="2" ref="D28:D34">B28*C28</f>
        <v>596.0466666666666</v>
      </c>
      <c r="E28" s="1" t="s">
        <v>165</v>
      </c>
      <c r="F28" s="86"/>
      <c r="G28" s="86"/>
    </row>
    <row r="29" spans="1:7" ht="26.25">
      <c r="A29" s="3" t="s">
        <v>156</v>
      </c>
      <c r="B29" s="72">
        <v>29.47</v>
      </c>
      <c r="C29" s="79">
        <v>6</v>
      </c>
      <c r="D29" s="72">
        <f t="shared" si="2"/>
        <v>176.82</v>
      </c>
      <c r="E29" s="1">
        <v>6</v>
      </c>
      <c r="F29" s="72"/>
      <c r="G29" s="72"/>
    </row>
    <row r="30" spans="1:7" ht="12.75">
      <c r="A30" s="3" t="s">
        <v>166</v>
      </c>
      <c r="B30" s="72">
        <v>447.46</v>
      </c>
      <c r="C30" s="79">
        <v>1</v>
      </c>
      <c r="D30" s="72">
        <f t="shared" si="2"/>
        <v>447.46</v>
      </c>
      <c r="E30" s="1">
        <v>1</v>
      </c>
      <c r="F30" s="72"/>
      <c r="G30" s="72"/>
    </row>
    <row r="31" spans="1:7" ht="12.75">
      <c r="A31" s="3" t="s">
        <v>167</v>
      </c>
      <c r="B31" s="72">
        <v>19.49</v>
      </c>
      <c r="C31" s="79">
        <v>1</v>
      </c>
      <c r="D31" s="72">
        <f t="shared" si="2"/>
        <v>19.49</v>
      </c>
      <c r="E31" s="1" t="s">
        <v>168</v>
      </c>
      <c r="F31" s="72"/>
      <c r="G31" s="72"/>
    </row>
    <row r="32" spans="1:7" ht="12.75">
      <c r="A32" s="3" t="s">
        <v>169</v>
      </c>
      <c r="B32" s="72">
        <v>31.36</v>
      </c>
      <c r="C32" s="79">
        <v>1</v>
      </c>
      <c r="D32" s="72">
        <f t="shared" si="2"/>
        <v>31.36</v>
      </c>
      <c r="E32" s="1" t="s">
        <v>170</v>
      </c>
      <c r="F32" s="72"/>
      <c r="G32" s="72"/>
    </row>
    <row r="33" spans="1:7" ht="26.25">
      <c r="A33" s="85" t="s">
        <v>163</v>
      </c>
      <c r="B33" s="72">
        <v>2135.59</v>
      </c>
      <c r="C33" s="79">
        <v>0.5</v>
      </c>
      <c r="D33" s="86">
        <f t="shared" si="2"/>
        <v>1067.795</v>
      </c>
      <c r="E33" s="1" t="s">
        <v>171</v>
      </c>
      <c r="F33" s="86"/>
      <c r="G33" s="86"/>
    </row>
    <row r="34" spans="1:7" ht="26.25">
      <c r="A34" s="3" t="s">
        <v>172</v>
      </c>
      <c r="B34" s="72">
        <v>1315.68</v>
      </c>
      <c r="C34" s="79">
        <f>1/2.5</f>
        <v>0.4</v>
      </c>
      <c r="D34" s="72">
        <f t="shared" si="2"/>
        <v>526.272</v>
      </c>
      <c r="E34" s="1" t="s">
        <v>173</v>
      </c>
      <c r="F34" s="72"/>
      <c r="G34" s="72"/>
    </row>
    <row r="35" spans="1:7" ht="12.75">
      <c r="A35" s="81" t="s">
        <v>157</v>
      </c>
      <c r="B35" s="82"/>
      <c r="C35" s="83"/>
      <c r="D35" s="84">
        <f>SUM(D28:D34)</f>
        <v>2865.2436666666663</v>
      </c>
      <c r="F35" s="84">
        <f>D35*1.18</f>
        <v>3380.987526666666</v>
      </c>
      <c r="G35" s="84">
        <f>F35/B3</f>
        <v>1.7162373231810486</v>
      </c>
    </row>
    <row r="38" spans="1:7" ht="12.75">
      <c r="A38" s="75" t="s">
        <v>174</v>
      </c>
      <c r="B38" s="76"/>
      <c r="C38" s="77"/>
      <c r="D38" s="76"/>
      <c r="F38" s="76"/>
      <c r="G38" s="76"/>
    </row>
    <row r="39" spans="1:7" ht="47.25" customHeight="1">
      <c r="A39" s="85" t="s">
        <v>175</v>
      </c>
      <c r="B39" s="72">
        <v>2105.09</v>
      </c>
      <c r="C39" s="79">
        <v>1</v>
      </c>
      <c r="D39" s="72">
        <f>B39*C39</f>
        <v>2105.09</v>
      </c>
      <c r="E39" s="88">
        <v>1</v>
      </c>
      <c r="F39" s="72"/>
      <c r="G39" s="72"/>
    </row>
    <row r="40" spans="1:7" ht="26.25">
      <c r="A40" s="3" t="s">
        <v>156</v>
      </c>
      <c r="B40" s="72">
        <v>29.47</v>
      </c>
      <c r="C40" s="79">
        <v>18</v>
      </c>
      <c r="D40" s="72">
        <f aca="true" t="shared" si="3" ref="D40:D47">B40*C40</f>
        <v>530.46</v>
      </c>
      <c r="E40" s="88" t="s">
        <v>176</v>
      </c>
      <c r="F40" s="72"/>
      <c r="G40" s="72"/>
    </row>
    <row r="41" spans="1:7" ht="26.25">
      <c r="A41" s="85" t="s">
        <v>177</v>
      </c>
      <c r="B41" s="72">
        <v>938.14</v>
      </c>
      <c r="C41" s="79">
        <v>1</v>
      </c>
      <c r="D41" s="72">
        <f t="shared" si="3"/>
        <v>938.14</v>
      </c>
      <c r="E41" s="88" t="s">
        <v>178</v>
      </c>
      <c r="F41" s="72"/>
      <c r="G41" s="72"/>
    </row>
    <row r="42" spans="1:7" ht="12.75">
      <c r="A42" s="85" t="s">
        <v>179</v>
      </c>
      <c r="B42" s="72">
        <v>938.14</v>
      </c>
      <c r="C42" s="79">
        <v>1</v>
      </c>
      <c r="D42" s="72">
        <f t="shared" si="3"/>
        <v>938.14</v>
      </c>
      <c r="E42" s="1" t="s">
        <v>180</v>
      </c>
      <c r="F42" s="72"/>
      <c r="G42" s="72"/>
    </row>
    <row r="43" spans="1:7" ht="12.75">
      <c r="A43" s="85" t="s">
        <v>181</v>
      </c>
      <c r="B43" s="86">
        <v>50</v>
      </c>
      <c r="C43" s="79">
        <v>1</v>
      </c>
      <c r="D43" s="72">
        <f t="shared" si="3"/>
        <v>50</v>
      </c>
      <c r="E43" s="1" t="s">
        <v>180</v>
      </c>
      <c r="F43" s="72"/>
      <c r="G43" s="72"/>
    </row>
    <row r="44" spans="1:7" ht="12.75">
      <c r="A44" s="85" t="s">
        <v>169</v>
      </c>
      <c r="B44" s="72">
        <v>31.36</v>
      </c>
      <c r="C44" s="79">
        <v>1</v>
      </c>
      <c r="D44" s="72">
        <f t="shared" si="3"/>
        <v>31.36</v>
      </c>
      <c r="E44" s="88" t="s">
        <v>168</v>
      </c>
      <c r="F44" s="72"/>
      <c r="G44" s="72"/>
    </row>
    <row r="45" spans="1:7" ht="12.75">
      <c r="A45" s="85" t="s">
        <v>182</v>
      </c>
      <c r="B45" s="72">
        <v>149.83</v>
      </c>
      <c r="C45" s="79">
        <v>1</v>
      </c>
      <c r="D45" s="72">
        <f t="shared" si="3"/>
        <v>149.83</v>
      </c>
      <c r="E45" s="88" t="s">
        <v>168</v>
      </c>
      <c r="F45" s="72"/>
      <c r="G45" s="72"/>
    </row>
    <row r="46" spans="1:7" ht="26.25">
      <c r="A46" s="85" t="s">
        <v>163</v>
      </c>
      <c r="B46" s="72">
        <v>2135.59</v>
      </c>
      <c r="C46" s="79">
        <v>0.5</v>
      </c>
      <c r="D46" s="86">
        <f t="shared" si="3"/>
        <v>1067.795</v>
      </c>
      <c r="E46" s="88" t="s">
        <v>183</v>
      </c>
      <c r="F46" s="86"/>
      <c r="G46" s="86"/>
    </row>
    <row r="47" spans="1:7" ht="26.25">
      <c r="A47" s="85" t="s">
        <v>172</v>
      </c>
      <c r="B47" s="72">
        <v>1315.68</v>
      </c>
      <c r="C47" s="79">
        <f>1/2.5</f>
        <v>0.4</v>
      </c>
      <c r="D47" s="72">
        <f t="shared" si="3"/>
        <v>526.272</v>
      </c>
      <c r="E47" s="88" t="s">
        <v>173</v>
      </c>
      <c r="F47" s="72"/>
      <c r="G47" s="72"/>
    </row>
    <row r="48" spans="1:7" ht="12.75">
      <c r="A48" s="81" t="s">
        <v>157</v>
      </c>
      <c r="B48" s="82"/>
      <c r="C48" s="83"/>
      <c r="D48" s="84">
        <f>SUM(D39:D47)</f>
        <v>6337.0869999999995</v>
      </c>
      <c r="E48" s="88"/>
      <c r="F48" s="84">
        <f>D48*1.18</f>
        <v>7477.762659999999</v>
      </c>
      <c r="G48" s="84">
        <f>F48/B3</f>
        <v>3.7958186091370556</v>
      </c>
    </row>
    <row r="49" spans="1:5" ht="12.75">
      <c r="A49" s="89"/>
      <c r="B49" s="23"/>
      <c r="C49" s="90"/>
      <c r="D49" s="23"/>
      <c r="E49" s="88"/>
    </row>
    <row r="51" spans="1:7" ht="12.75">
      <c r="A51" s="75" t="s">
        <v>184</v>
      </c>
      <c r="B51" s="76"/>
      <c r="C51" s="77"/>
      <c r="D51" s="76"/>
      <c r="F51" s="76"/>
      <c r="G51" s="76"/>
    </row>
    <row r="52" spans="1:7" ht="26.25">
      <c r="A52" s="85" t="s">
        <v>185</v>
      </c>
      <c r="B52" s="86">
        <v>1364.4</v>
      </c>
      <c r="C52" s="79">
        <v>1</v>
      </c>
      <c r="D52" s="79">
        <f>B52*C52</f>
        <v>1364.4</v>
      </c>
      <c r="E52" s="1">
        <v>1</v>
      </c>
      <c r="F52" s="79"/>
      <c r="G52" s="79"/>
    </row>
    <row r="53" spans="1:7" ht="26.25">
      <c r="A53" s="85" t="s">
        <v>186</v>
      </c>
      <c r="B53" s="72">
        <v>983.05</v>
      </c>
      <c r="C53" s="79">
        <v>1</v>
      </c>
      <c r="D53" s="79">
        <f aca="true" t="shared" si="4" ref="D53:D59">B53*C53</f>
        <v>983.05</v>
      </c>
      <c r="E53" s="1">
        <v>1</v>
      </c>
      <c r="F53" s="79"/>
      <c r="G53" s="79"/>
    </row>
    <row r="54" spans="1:7" ht="11.25" customHeight="1">
      <c r="A54" s="85" t="s">
        <v>187</v>
      </c>
      <c r="B54" s="72">
        <v>447.46</v>
      </c>
      <c r="C54" s="79">
        <v>1</v>
      </c>
      <c r="D54" s="79">
        <f t="shared" si="4"/>
        <v>447.46</v>
      </c>
      <c r="E54" s="1">
        <v>1</v>
      </c>
      <c r="F54" s="79"/>
      <c r="G54" s="79"/>
    </row>
    <row r="55" spans="1:7" ht="26.25">
      <c r="A55" s="85" t="s">
        <v>188</v>
      </c>
      <c r="B55" s="72">
        <v>144.07</v>
      </c>
      <c r="C55" s="79">
        <v>12</v>
      </c>
      <c r="D55" s="79">
        <f t="shared" si="4"/>
        <v>1728.84</v>
      </c>
      <c r="E55" s="1">
        <v>12</v>
      </c>
      <c r="F55" s="79"/>
      <c r="G55" s="79"/>
    </row>
    <row r="56" spans="1:7" ht="11.25" customHeight="1">
      <c r="A56" s="85" t="s">
        <v>189</v>
      </c>
      <c r="B56" s="72">
        <v>31.36</v>
      </c>
      <c r="C56" s="79">
        <v>1</v>
      </c>
      <c r="D56" s="79">
        <f t="shared" si="4"/>
        <v>31.36</v>
      </c>
      <c r="E56" s="1" t="s">
        <v>180</v>
      </c>
      <c r="F56" s="79"/>
      <c r="G56" s="79"/>
    </row>
    <row r="57" spans="1:7" ht="36.75" customHeight="1">
      <c r="A57" s="91" t="s">
        <v>190</v>
      </c>
      <c r="B57" s="72">
        <v>1315.68</v>
      </c>
      <c r="C57" s="79">
        <f>1/2.5</f>
        <v>0.4</v>
      </c>
      <c r="D57" s="79">
        <f t="shared" si="4"/>
        <v>526.272</v>
      </c>
      <c r="E57" s="1" t="s">
        <v>191</v>
      </c>
      <c r="F57" s="79"/>
      <c r="G57" s="79"/>
    </row>
    <row r="58" spans="1:7" ht="39">
      <c r="A58" s="85" t="s">
        <v>192</v>
      </c>
      <c r="B58" s="80">
        <f>3389.59/115</f>
        <v>29.474695652173914</v>
      </c>
      <c r="C58" s="79">
        <v>3</v>
      </c>
      <c r="D58" s="79">
        <f t="shared" si="4"/>
        <v>88.42408695652173</v>
      </c>
      <c r="E58" s="1">
        <v>3</v>
      </c>
      <c r="F58" s="79"/>
      <c r="G58" s="79"/>
    </row>
    <row r="59" spans="1:7" ht="66">
      <c r="A59" s="85" t="s">
        <v>193</v>
      </c>
      <c r="B59" s="72">
        <v>2135.59</v>
      </c>
      <c r="C59" s="79">
        <f>1/2</f>
        <v>0.5</v>
      </c>
      <c r="D59" s="79">
        <f t="shared" si="4"/>
        <v>1067.795</v>
      </c>
      <c r="E59" s="1" t="s">
        <v>194</v>
      </c>
      <c r="F59" s="79"/>
      <c r="G59" s="79"/>
    </row>
    <row r="60" spans="1:7" ht="12.75">
      <c r="A60" s="81" t="s">
        <v>157</v>
      </c>
      <c r="B60" s="82"/>
      <c r="C60" s="83"/>
      <c r="D60" s="84">
        <f>SUM(D52:D59)</f>
        <v>6237.601086956522</v>
      </c>
      <c r="F60" s="84">
        <f>D60*1.18</f>
        <v>7360.369282608695</v>
      </c>
      <c r="G60" s="84">
        <f>F60/B3</f>
        <v>3.7362280622379163</v>
      </c>
    </row>
    <row r="62" spans="1:7" ht="12.75">
      <c r="A62" s="75" t="s">
        <v>195</v>
      </c>
      <c r="B62" s="76"/>
      <c r="C62" s="77"/>
      <c r="D62" s="76"/>
      <c r="F62" s="76"/>
      <c r="G62" s="76"/>
    </row>
    <row r="63" spans="1:7" ht="52.5">
      <c r="A63" s="85" t="s">
        <v>196</v>
      </c>
      <c r="B63" s="86">
        <v>1364.4</v>
      </c>
      <c r="C63" s="79">
        <v>1</v>
      </c>
      <c r="D63" s="79">
        <f aca="true" t="shared" si="5" ref="D63:D69">B63*C63</f>
        <v>1364.4</v>
      </c>
      <c r="F63" s="79"/>
      <c r="G63" s="79"/>
    </row>
    <row r="64" spans="1:7" ht="39">
      <c r="A64" s="85" t="s">
        <v>197</v>
      </c>
      <c r="B64" s="72">
        <v>2135.59</v>
      </c>
      <c r="C64" s="79">
        <f>1/2</f>
        <v>0.5</v>
      </c>
      <c r="D64" s="79">
        <f t="shared" si="5"/>
        <v>1067.795</v>
      </c>
      <c r="F64" s="79"/>
      <c r="G64" s="79"/>
    </row>
    <row r="65" spans="1:7" ht="26.25">
      <c r="A65" s="85" t="s">
        <v>198</v>
      </c>
      <c r="B65" s="72">
        <v>447.46</v>
      </c>
      <c r="C65" s="79">
        <v>1</v>
      </c>
      <c r="D65" s="79">
        <f t="shared" si="5"/>
        <v>447.46</v>
      </c>
      <c r="F65" s="79"/>
      <c r="G65" s="79"/>
    </row>
    <row r="66" spans="1:7" ht="26.25">
      <c r="A66" s="85" t="s">
        <v>199</v>
      </c>
      <c r="B66" s="72">
        <v>1315.68</v>
      </c>
      <c r="C66" s="79">
        <f>1/2.5</f>
        <v>0.4</v>
      </c>
      <c r="D66" s="72">
        <f t="shared" si="5"/>
        <v>526.272</v>
      </c>
      <c r="F66" s="72"/>
      <c r="G66" s="72"/>
    </row>
    <row r="67" spans="1:7" ht="39">
      <c r="A67" s="85" t="s">
        <v>200</v>
      </c>
      <c r="B67" s="72">
        <v>144.07</v>
      </c>
      <c r="C67" s="79">
        <v>12</v>
      </c>
      <c r="D67" s="79">
        <f t="shared" si="5"/>
        <v>1728.84</v>
      </c>
      <c r="F67" s="79"/>
      <c r="G67" s="79"/>
    </row>
    <row r="68" spans="1:7" ht="39">
      <c r="A68" s="85" t="s">
        <v>192</v>
      </c>
      <c r="B68" s="80">
        <f>3389.59/115</f>
        <v>29.474695652173914</v>
      </c>
      <c r="C68" s="79">
        <v>3</v>
      </c>
      <c r="D68" s="79">
        <f t="shared" si="5"/>
        <v>88.42408695652173</v>
      </c>
      <c r="F68" s="79"/>
      <c r="G68" s="79"/>
    </row>
    <row r="69" spans="1:7" ht="12.75">
      <c r="A69" s="85" t="s">
        <v>182</v>
      </c>
      <c r="B69" s="72">
        <v>149.83</v>
      </c>
      <c r="C69" s="79">
        <v>1</v>
      </c>
      <c r="D69" s="72">
        <f t="shared" si="5"/>
        <v>149.83</v>
      </c>
      <c r="F69" s="72"/>
      <c r="G69" s="72"/>
    </row>
    <row r="70" spans="1:7" ht="12.75">
      <c r="A70" s="81" t="s">
        <v>157</v>
      </c>
      <c r="B70" s="82"/>
      <c r="C70" s="83"/>
      <c r="D70" s="84">
        <f>SUM(D63:D69)</f>
        <v>5373.021086956522</v>
      </c>
      <c r="F70" s="84">
        <f>D70*1.18</f>
        <v>6340.164882608695</v>
      </c>
      <c r="G70" s="84">
        <f>F70/B3</f>
        <v>3.2183578084308095</v>
      </c>
    </row>
    <row r="72" spans="1:7" ht="12.75">
      <c r="A72" s="75" t="s">
        <v>106</v>
      </c>
      <c r="B72" s="76"/>
      <c r="C72" s="77"/>
      <c r="D72" s="76"/>
      <c r="F72" s="76"/>
      <c r="G72" s="76"/>
    </row>
    <row r="73" spans="1:7" ht="44.25" customHeight="1">
      <c r="A73" s="85" t="s">
        <v>201</v>
      </c>
      <c r="B73" s="72">
        <v>894.07</v>
      </c>
      <c r="C73" s="79">
        <v>1</v>
      </c>
      <c r="D73" s="79">
        <f aca="true" t="shared" si="6" ref="D73:D82">B73*C73</f>
        <v>894.07</v>
      </c>
      <c r="F73" s="79"/>
      <c r="G73" s="79"/>
    </row>
    <row r="74" spans="1:7" ht="25.5" customHeight="1">
      <c r="A74" s="85" t="s">
        <v>202</v>
      </c>
      <c r="B74" s="72">
        <v>2135.59</v>
      </c>
      <c r="C74" s="79">
        <f>1/2</f>
        <v>0.5</v>
      </c>
      <c r="D74" s="79">
        <f t="shared" si="6"/>
        <v>1067.795</v>
      </c>
      <c r="F74" s="79"/>
      <c r="G74" s="79"/>
    </row>
    <row r="75" spans="1:7" ht="9.75" customHeight="1">
      <c r="A75" s="85" t="s">
        <v>167</v>
      </c>
      <c r="B75" s="72">
        <v>19.49</v>
      </c>
      <c r="C75" s="79">
        <v>6</v>
      </c>
      <c r="D75" s="72">
        <f t="shared" si="6"/>
        <v>116.94</v>
      </c>
      <c r="F75" s="72"/>
      <c r="G75" s="72"/>
    </row>
    <row r="76" spans="1:7" ht="38.25" customHeight="1">
      <c r="A76" s="85" t="s">
        <v>200</v>
      </c>
      <c r="B76" s="72">
        <v>144.07</v>
      </c>
      <c r="C76" s="79">
        <v>12</v>
      </c>
      <c r="D76" s="79">
        <f t="shared" si="6"/>
        <v>1728.84</v>
      </c>
      <c r="F76" s="79"/>
      <c r="G76" s="79"/>
    </row>
    <row r="77" spans="1:7" ht="38.25" customHeight="1">
      <c r="A77" s="85" t="s">
        <v>192</v>
      </c>
      <c r="B77" s="80">
        <f>3389.59/115</f>
        <v>29.474695652173914</v>
      </c>
      <c r="C77" s="79">
        <v>3</v>
      </c>
      <c r="D77" s="79">
        <f t="shared" si="6"/>
        <v>88.42408695652173</v>
      </c>
      <c r="F77" s="79"/>
      <c r="G77" s="79"/>
    </row>
    <row r="78" spans="1:7" ht="26.25">
      <c r="A78" s="85" t="s">
        <v>198</v>
      </c>
      <c r="B78" s="72">
        <v>447.46</v>
      </c>
      <c r="C78" s="79">
        <v>1</v>
      </c>
      <c r="D78" s="79">
        <f t="shared" si="6"/>
        <v>447.46</v>
      </c>
      <c r="F78" s="79"/>
      <c r="G78" s="79"/>
    </row>
    <row r="79" spans="1:7" ht="26.25">
      <c r="A79" s="85" t="s">
        <v>199</v>
      </c>
      <c r="B79" s="72">
        <v>1315.68</v>
      </c>
      <c r="C79" s="79">
        <f>1/2.5</f>
        <v>0.4</v>
      </c>
      <c r="D79" s="72">
        <f t="shared" si="6"/>
        <v>526.272</v>
      </c>
      <c r="F79" s="72"/>
      <c r="G79" s="72"/>
    </row>
    <row r="80" spans="1:7" ht="12.75">
      <c r="A80" s="85" t="s">
        <v>203</v>
      </c>
      <c r="B80" s="86">
        <v>235</v>
      </c>
      <c r="C80" s="79">
        <v>1</v>
      </c>
      <c r="D80" s="72">
        <f t="shared" si="6"/>
        <v>235</v>
      </c>
      <c r="F80" s="72"/>
      <c r="G80" s="72"/>
    </row>
    <row r="81" spans="1:7" ht="12.75">
      <c r="A81" s="85" t="s">
        <v>169</v>
      </c>
      <c r="B81" s="72">
        <v>31.36</v>
      </c>
      <c r="C81" s="79">
        <v>1</v>
      </c>
      <c r="D81" s="72">
        <f t="shared" si="6"/>
        <v>31.36</v>
      </c>
      <c r="F81" s="72"/>
      <c r="G81" s="72"/>
    </row>
    <row r="82" spans="1:7" ht="12.75">
      <c r="A82" s="85" t="s">
        <v>204</v>
      </c>
      <c r="B82" s="78">
        <f>12069.42/92</f>
        <v>131.18934782608696</v>
      </c>
      <c r="C82" s="79">
        <f>1</f>
        <v>1</v>
      </c>
      <c r="D82" s="78">
        <f t="shared" si="6"/>
        <v>131.18934782608696</v>
      </c>
      <c r="F82" s="78"/>
      <c r="G82" s="78"/>
    </row>
    <row r="83" spans="1:7" ht="12.75">
      <c r="A83" s="81" t="s">
        <v>157</v>
      </c>
      <c r="B83" s="82"/>
      <c r="C83" s="83"/>
      <c r="D83" s="84">
        <f>SUM(D73:D82)</f>
        <v>5267.350434782609</v>
      </c>
      <c r="F83" s="84">
        <f>D83*1.18</f>
        <v>6215.473513043478</v>
      </c>
      <c r="G83" s="84">
        <f>F83/B3</f>
        <v>3.155062696976385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2"/>
  <sheetViews>
    <sheetView tabSelected="1" view="pageBreakPreview" zoomScaleSheetLayoutView="100" workbookViewId="0" topLeftCell="A133">
      <selection activeCell="F4" sqref="F4"/>
    </sheetView>
  </sheetViews>
  <sheetFormatPr defaultColWidth="9.125" defaultRowHeight="12.75"/>
  <cols>
    <col min="1" max="1" width="57.50390625" style="102" customWidth="1"/>
    <col min="2" max="3" width="18.375" style="102" customWidth="1"/>
    <col min="4" max="4" width="20.125" style="102" customWidth="1"/>
    <col min="5" max="5" width="12.625" style="160" customWidth="1"/>
    <col min="6" max="16384" width="9.125" style="98" customWidth="1"/>
  </cols>
  <sheetData>
    <row r="1" spans="2:4" ht="18">
      <c r="B1" s="212" t="s">
        <v>400</v>
      </c>
      <c r="C1" s="212"/>
      <c r="D1" s="212"/>
    </row>
    <row r="2" spans="1:5" s="143" customFormat="1" ht="52.5" customHeight="1">
      <c r="A2" s="142"/>
      <c r="B2" s="210" t="s">
        <v>407</v>
      </c>
      <c r="C2" s="210"/>
      <c r="D2" s="210"/>
      <c r="E2" s="160"/>
    </row>
    <row r="3" spans="2:4" ht="28.5" customHeight="1">
      <c r="B3" s="212" t="s">
        <v>408</v>
      </c>
      <c r="C3" s="212"/>
      <c r="D3" s="212"/>
    </row>
    <row r="4" spans="2:4" ht="106.5" customHeight="1">
      <c r="B4" s="210" t="s">
        <v>409</v>
      </c>
      <c r="C4" s="211"/>
      <c r="D4" s="211"/>
    </row>
    <row r="5" spans="2:4" ht="28.5" customHeight="1">
      <c r="B5" s="130"/>
      <c r="C5" s="130"/>
      <c r="D5" s="130"/>
    </row>
    <row r="6" spans="1:4" ht="16.5">
      <c r="A6" s="183" t="s">
        <v>270</v>
      </c>
      <c r="B6" s="183"/>
      <c r="C6" s="183"/>
      <c r="D6" s="183"/>
    </row>
    <row r="7" spans="1:4" ht="37.5" customHeight="1">
      <c r="A7" s="184" t="s">
        <v>401</v>
      </c>
      <c r="B7" s="184"/>
      <c r="C7" s="184"/>
      <c r="D7" s="184"/>
    </row>
    <row r="8" spans="1:4" ht="26.25" customHeight="1">
      <c r="A8" s="191" t="s">
        <v>406</v>
      </c>
      <c r="B8" s="184"/>
      <c r="C8" s="184"/>
      <c r="D8" s="184"/>
    </row>
    <row r="9" spans="1:4" ht="66.75">
      <c r="A9" s="103" t="s">
        <v>269</v>
      </c>
      <c r="B9" s="103" t="s">
        <v>271</v>
      </c>
      <c r="C9" s="104" t="s">
        <v>272</v>
      </c>
      <c r="D9" s="104" t="s">
        <v>273</v>
      </c>
    </row>
    <row r="10" spans="1:4" ht="16.5">
      <c r="A10" s="103">
        <v>1</v>
      </c>
      <c r="B10" s="103">
        <v>2</v>
      </c>
      <c r="C10" s="103">
        <v>3</v>
      </c>
      <c r="D10" s="103">
        <v>4</v>
      </c>
    </row>
    <row r="11" spans="1:4" ht="51" customHeight="1">
      <c r="A11" s="185" t="s">
        <v>274</v>
      </c>
      <c r="B11" s="186"/>
      <c r="C11" s="186"/>
      <c r="D11" s="187"/>
    </row>
    <row r="12" spans="1:6" ht="33">
      <c r="A12" s="105" t="s">
        <v>275</v>
      </c>
      <c r="B12" s="188" t="s">
        <v>276</v>
      </c>
      <c r="C12" s="153">
        <v>3226.05</v>
      </c>
      <c r="D12" s="152">
        <v>0.41</v>
      </c>
      <c r="E12" s="150"/>
      <c r="F12" s="157"/>
    </row>
    <row r="13" spans="1:4" ht="50.25">
      <c r="A13" s="107" t="s">
        <v>277</v>
      </c>
      <c r="B13" s="189"/>
      <c r="C13" s="134"/>
      <c r="D13" s="109"/>
    </row>
    <row r="14" spans="1:4" ht="152.25" customHeight="1">
      <c r="A14" s="110" t="s">
        <v>278</v>
      </c>
      <c r="B14" s="189"/>
      <c r="C14" s="131"/>
      <c r="D14" s="109"/>
    </row>
    <row r="15" spans="1:4" ht="54" customHeight="1">
      <c r="A15" s="111" t="s">
        <v>279</v>
      </c>
      <c r="B15" s="190"/>
      <c r="C15" s="132"/>
      <c r="D15" s="113"/>
    </row>
    <row r="16" spans="1:6" ht="16.5">
      <c r="A16" s="114" t="s">
        <v>280</v>
      </c>
      <c r="B16" s="188" t="s">
        <v>276</v>
      </c>
      <c r="C16" s="155">
        <v>0</v>
      </c>
      <c r="D16" s="106">
        <v>0</v>
      </c>
      <c r="E16" s="150"/>
      <c r="F16" s="157"/>
    </row>
    <row r="17" spans="1:4" ht="48.75" customHeight="1">
      <c r="A17" s="107" t="s">
        <v>281</v>
      </c>
      <c r="B17" s="189"/>
      <c r="C17" s="131"/>
      <c r="D17" s="109"/>
    </row>
    <row r="18" spans="1:4" ht="102.75" customHeight="1">
      <c r="A18" s="107" t="s">
        <v>282</v>
      </c>
      <c r="B18" s="189"/>
      <c r="C18" s="131"/>
      <c r="D18" s="109"/>
    </row>
    <row r="19" spans="1:4" ht="50.25">
      <c r="A19" s="111" t="s">
        <v>283</v>
      </c>
      <c r="B19" s="190"/>
      <c r="C19" s="132"/>
      <c r="D19" s="113"/>
    </row>
    <row r="20" spans="1:6" ht="33">
      <c r="A20" s="114" t="s">
        <v>284</v>
      </c>
      <c r="B20" s="188" t="s">
        <v>276</v>
      </c>
      <c r="C20" s="155">
        <v>4327.62</v>
      </c>
      <c r="D20" s="152">
        <v>0.55</v>
      </c>
      <c r="E20" s="150"/>
      <c r="F20" s="157"/>
    </row>
    <row r="21" spans="1:4" ht="117">
      <c r="A21" s="110" t="s">
        <v>285</v>
      </c>
      <c r="B21" s="189"/>
      <c r="C21" s="131"/>
      <c r="D21" s="109"/>
    </row>
    <row r="22" spans="1:4" ht="88.5" customHeight="1">
      <c r="A22" s="107" t="s">
        <v>286</v>
      </c>
      <c r="B22" s="189"/>
      <c r="C22" s="131"/>
      <c r="D22" s="109"/>
    </row>
    <row r="23" spans="1:4" ht="144" customHeight="1">
      <c r="A23" s="115" t="s">
        <v>402</v>
      </c>
      <c r="B23" s="190"/>
      <c r="C23" s="132"/>
      <c r="D23" s="113"/>
    </row>
    <row r="24" spans="1:6" ht="30" customHeight="1">
      <c r="A24" s="114" t="s">
        <v>287</v>
      </c>
      <c r="B24" s="188" t="s">
        <v>276</v>
      </c>
      <c r="C24" s="155">
        <v>3226.05</v>
      </c>
      <c r="D24" s="106">
        <v>0.41</v>
      </c>
      <c r="E24" s="150"/>
      <c r="F24" s="157"/>
    </row>
    <row r="25" spans="1:4" ht="50.25">
      <c r="A25" s="107" t="s">
        <v>288</v>
      </c>
      <c r="B25" s="189"/>
      <c r="C25" s="131"/>
      <c r="D25" s="109"/>
    </row>
    <row r="26" spans="1:4" ht="73.5" customHeight="1">
      <c r="A26" s="107" t="s">
        <v>289</v>
      </c>
      <c r="B26" s="189"/>
      <c r="C26" s="131"/>
      <c r="D26" s="109"/>
    </row>
    <row r="27" spans="1:4" ht="199.5" customHeight="1">
      <c r="A27" s="115" t="s">
        <v>403</v>
      </c>
      <c r="B27" s="190"/>
      <c r="C27" s="132"/>
      <c r="D27" s="113"/>
    </row>
    <row r="28" spans="1:6" ht="33">
      <c r="A28" s="114" t="s">
        <v>290</v>
      </c>
      <c r="B28" s="188" t="s">
        <v>276</v>
      </c>
      <c r="C28" s="155">
        <v>1652.37</v>
      </c>
      <c r="D28" s="106">
        <v>0.21</v>
      </c>
      <c r="E28" s="150"/>
      <c r="F28" s="157"/>
    </row>
    <row r="29" spans="1:4" ht="84">
      <c r="A29" s="107" t="s">
        <v>291</v>
      </c>
      <c r="B29" s="189"/>
      <c r="C29" s="131"/>
      <c r="D29" s="109"/>
    </row>
    <row r="30" spans="1:4" ht="84">
      <c r="A30" s="107" t="s">
        <v>292</v>
      </c>
      <c r="B30" s="189"/>
      <c r="C30" s="131"/>
      <c r="D30" s="109"/>
    </row>
    <row r="31" spans="1:4" ht="84">
      <c r="A31" s="115" t="s">
        <v>293</v>
      </c>
      <c r="B31" s="190"/>
      <c r="C31" s="132"/>
      <c r="D31" s="113"/>
    </row>
    <row r="32" spans="1:6" ht="50.25">
      <c r="A32" s="114" t="s">
        <v>294</v>
      </c>
      <c r="B32" s="188" t="s">
        <v>276</v>
      </c>
      <c r="C32" s="155">
        <v>7553.66</v>
      </c>
      <c r="D32" s="106">
        <v>0.96</v>
      </c>
      <c r="E32" s="150"/>
      <c r="F32" s="157"/>
    </row>
    <row r="33" spans="1:4" ht="66.75">
      <c r="A33" s="107" t="s">
        <v>295</v>
      </c>
      <c r="B33" s="194"/>
      <c r="C33" s="131"/>
      <c r="D33" s="109"/>
    </row>
    <row r="34" spans="1:4" ht="134.25">
      <c r="A34" s="115" t="s">
        <v>296</v>
      </c>
      <c r="B34" s="195"/>
      <c r="C34" s="132"/>
      <c r="D34" s="113"/>
    </row>
    <row r="35" spans="1:6" ht="33">
      <c r="A35" s="114" t="s">
        <v>297</v>
      </c>
      <c r="B35" s="188" t="s">
        <v>276</v>
      </c>
      <c r="C35" s="155">
        <v>5979.98</v>
      </c>
      <c r="D35" s="106">
        <v>0.76</v>
      </c>
      <c r="E35" s="150"/>
      <c r="F35" s="157"/>
    </row>
    <row r="36" spans="1:4" ht="18.75" customHeight="1">
      <c r="A36" s="107" t="s">
        <v>298</v>
      </c>
      <c r="B36" s="189"/>
      <c r="C36" s="131"/>
      <c r="D36" s="109"/>
    </row>
    <row r="37" spans="1:4" ht="156.75" customHeight="1">
      <c r="A37" s="110" t="s">
        <v>299</v>
      </c>
      <c r="B37" s="189"/>
      <c r="C37" s="131"/>
      <c r="D37" s="109"/>
    </row>
    <row r="38" spans="1:4" ht="33">
      <c r="A38" s="107" t="s">
        <v>300</v>
      </c>
      <c r="B38" s="189"/>
      <c r="C38" s="131"/>
      <c r="D38" s="109"/>
    </row>
    <row r="39" spans="1:4" ht="33">
      <c r="A39" s="107" t="s">
        <v>301</v>
      </c>
      <c r="B39" s="189"/>
      <c r="C39" s="131"/>
      <c r="D39" s="109"/>
    </row>
    <row r="40" spans="1:4" ht="100.5">
      <c r="A40" s="110" t="s">
        <v>302</v>
      </c>
      <c r="B40" s="189"/>
      <c r="C40" s="131"/>
      <c r="D40" s="109"/>
    </row>
    <row r="41" spans="1:4" ht="84">
      <c r="A41" s="107" t="s">
        <v>303</v>
      </c>
      <c r="B41" s="189"/>
      <c r="C41" s="131"/>
      <c r="D41" s="109"/>
    </row>
    <row r="42" spans="1:4" ht="168">
      <c r="A42" s="115" t="s">
        <v>304</v>
      </c>
      <c r="B42" s="190"/>
      <c r="C42" s="132"/>
      <c r="D42" s="113"/>
    </row>
    <row r="43" spans="1:6" ht="33">
      <c r="A43" s="114" t="s">
        <v>305</v>
      </c>
      <c r="B43" s="188" t="s">
        <v>276</v>
      </c>
      <c r="C43" s="155">
        <v>5979.98</v>
      </c>
      <c r="D43" s="106">
        <v>0.76</v>
      </c>
      <c r="E43" s="150"/>
      <c r="F43" s="157"/>
    </row>
    <row r="44" spans="1:4" ht="50.25">
      <c r="A44" s="107" t="s">
        <v>306</v>
      </c>
      <c r="B44" s="189"/>
      <c r="C44" s="131"/>
      <c r="D44" s="109"/>
    </row>
    <row r="45" spans="1:4" ht="66.75">
      <c r="A45" s="107" t="s">
        <v>307</v>
      </c>
      <c r="B45" s="189"/>
      <c r="C45" s="131"/>
      <c r="D45" s="109"/>
    </row>
    <row r="46" spans="1:4" ht="66.75">
      <c r="A46" s="111" t="s">
        <v>308</v>
      </c>
      <c r="B46" s="190"/>
      <c r="C46" s="132"/>
      <c r="D46" s="113"/>
    </row>
    <row r="47" spans="1:6" ht="33">
      <c r="A47" s="114" t="s">
        <v>309</v>
      </c>
      <c r="B47" s="188" t="s">
        <v>276</v>
      </c>
      <c r="C47" s="155">
        <v>7553.66</v>
      </c>
      <c r="D47" s="106">
        <v>0.96</v>
      </c>
      <c r="E47" s="150"/>
      <c r="F47" s="157"/>
    </row>
    <row r="48" spans="1:4" ht="66.75">
      <c r="A48" s="107" t="s">
        <v>310</v>
      </c>
      <c r="B48" s="189"/>
      <c r="C48" s="131"/>
      <c r="D48" s="109"/>
    </row>
    <row r="49" spans="1:4" ht="50.25">
      <c r="A49" s="107" t="s">
        <v>311</v>
      </c>
      <c r="B49" s="189"/>
      <c r="C49" s="131"/>
      <c r="D49" s="109"/>
    </row>
    <row r="50" spans="1:4" ht="33">
      <c r="A50" s="107" t="s">
        <v>312</v>
      </c>
      <c r="B50" s="189"/>
      <c r="C50" s="131"/>
      <c r="D50" s="109"/>
    </row>
    <row r="51" spans="1:4" ht="66.75">
      <c r="A51" s="107" t="s">
        <v>313</v>
      </c>
      <c r="B51" s="189"/>
      <c r="C51" s="131"/>
      <c r="D51" s="109"/>
    </row>
    <row r="52" spans="1:4" ht="50.25">
      <c r="A52" s="107" t="s">
        <v>314</v>
      </c>
      <c r="B52" s="189"/>
      <c r="C52" s="131"/>
      <c r="D52" s="109"/>
    </row>
    <row r="53" spans="1:4" ht="100.5">
      <c r="A53" s="115" t="s">
        <v>315</v>
      </c>
      <c r="B53" s="190"/>
      <c r="C53" s="132"/>
      <c r="D53" s="113"/>
    </row>
    <row r="54" spans="1:6" ht="33">
      <c r="A54" s="114" t="s">
        <v>316</v>
      </c>
      <c r="B54" s="188" t="s">
        <v>276</v>
      </c>
      <c r="C54" s="155">
        <v>3226.05</v>
      </c>
      <c r="D54" s="106">
        <v>0.41</v>
      </c>
      <c r="E54" s="150"/>
      <c r="F54" s="157"/>
    </row>
    <row r="55" spans="1:4" ht="117">
      <c r="A55" s="110" t="s">
        <v>317</v>
      </c>
      <c r="B55" s="189"/>
      <c r="C55" s="131"/>
      <c r="D55" s="109"/>
    </row>
    <row r="56" spans="1:4" ht="84">
      <c r="A56" s="115" t="s">
        <v>318</v>
      </c>
      <c r="B56" s="190"/>
      <c r="C56" s="132"/>
      <c r="D56" s="113"/>
    </row>
    <row r="57" spans="1:6" ht="33">
      <c r="A57" s="114" t="s">
        <v>319</v>
      </c>
      <c r="B57" s="188" t="s">
        <v>276</v>
      </c>
      <c r="C57" s="155">
        <v>7553.66</v>
      </c>
      <c r="D57" s="106">
        <v>0.96</v>
      </c>
      <c r="E57" s="150"/>
      <c r="F57" s="157"/>
    </row>
    <row r="58" spans="1:4" ht="138" customHeight="1">
      <c r="A58" s="116" t="s">
        <v>320</v>
      </c>
      <c r="B58" s="190"/>
      <c r="C58" s="132"/>
      <c r="D58" s="113"/>
    </row>
    <row r="59" spans="1:6" ht="50.25">
      <c r="A59" s="114" t="s">
        <v>321</v>
      </c>
      <c r="B59" s="188" t="s">
        <v>276</v>
      </c>
      <c r="C59" s="155">
        <v>3776.83</v>
      </c>
      <c r="D59" s="106">
        <v>0.48</v>
      </c>
      <c r="E59" s="150"/>
      <c r="F59" s="157"/>
    </row>
    <row r="60" spans="1:4" ht="117.75" customHeight="1">
      <c r="A60" s="116" t="s">
        <v>322</v>
      </c>
      <c r="B60" s="190"/>
      <c r="C60" s="132"/>
      <c r="D60" s="113"/>
    </row>
    <row r="61" spans="1:6" ht="66.75">
      <c r="A61" s="114" t="s">
        <v>323</v>
      </c>
      <c r="B61" s="188" t="s">
        <v>276</v>
      </c>
      <c r="C61" s="155">
        <v>3934.2</v>
      </c>
      <c r="D61" s="106">
        <v>0.5</v>
      </c>
      <c r="E61" s="150"/>
      <c r="F61" s="157"/>
    </row>
    <row r="62" spans="1:4" ht="164.25" customHeight="1">
      <c r="A62" s="115" t="s">
        <v>324</v>
      </c>
      <c r="B62" s="190"/>
      <c r="C62" s="132"/>
      <c r="D62" s="113"/>
    </row>
    <row r="63" spans="1:4" ht="81.75" customHeight="1">
      <c r="A63" s="192" t="s">
        <v>325</v>
      </c>
      <c r="B63" s="193"/>
      <c r="C63" s="154">
        <f>C61+C59+C57+C54+C47+C43+C35+C32+C28+C24+C20+C12</f>
        <v>57990.110000000015</v>
      </c>
      <c r="D63" s="154">
        <f>D61+D59+D57+D54+D47+D43+D35+D32+D28+D24+D20+D12</f>
        <v>7.37</v>
      </c>
    </row>
    <row r="64" spans="1:4" ht="30.75" customHeight="1">
      <c r="A64" s="196" t="s">
        <v>326</v>
      </c>
      <c r="B64" s="197"/>
      <c r="C64" s="197"/>
      <c r="D64" s="198"/>
    </row>
    <row r="65" spans="1:6" ht="50.25">
      <c r="A65" s="114" t="s">
        <v>327</v>
      </c>
      <c r="B65" s="188" t="s">
        <v>328</v>
      </c>
      <c r="C65" s="155">
        <v>865.52</v>
      </c>
      <c r="D65" s="118">
        <v>0.11</v>
      </c>
      <c r="E65" s="150"/>
      <c r="F65" s="157"/>
    </row>
    <row r="66" spans="1:4" ht="66.75">
      <c r="A66" s="107" t="s">
        <v>329</v>
      </c>
      <c r="B66" s="189"/>
      <c r="C66" s="131"/>
      <c r="D66" s="108"/>
    </row>
    <row r="67" spans="1:4" ht="50.25">
      <c r="A67" s="107" t="s">
        <v>330</v>
      </c>
      <c r="B67" s="189"/>
      <c r="C67" s="131"/>
      <c r="D67" s="108"/>
    </row>
    <row r="68" spans="1:4" ht="33">
      <c r="A68" s="107" t="s">
        <v>331</v>
      </c>
      <c r="B68" s="189"/>
      <c r="C68" s="131"/>
      <c r="D68" s="108"/>
    </row>
    <row r="69" spans="1:4" ht="108" customHeight="1">
      <c r="A69" s="110" t="s">
        <v>332</v>
      </c>
      <c r="B69" s="189"/>
      <c r="C69" s="131"/>
      <c r="D69" s="108"/>
    </row>
    <row r="70" spans="1:4" ht="117">
      <c r="A70" s="111" t="s">
        <v>333</v>
      </c>
      <c r="B70" s="190"/>
      <c r="C70" s="132"/>
      <c r="D70" s="112"/>
    </row>
    <row r="71" spans="1:4" ht="50.25">
      <c r="A71" s="114" t="s">
        <v>334</v>
      </c>
      <c r="B71" s="188" t="s">
        <v>335</v>
      </c>
      <c r="C71" s="133"/>
      <c r="D71" s="118"/>
    </row>
    <row r="72" spans="1:4" ht="66.75">
      <c r="A72" s="107" t="s">
        <v>336</v>
      </c>
      <c r="B72" s="189"/>
      <c r="C72" s="131"/>
      <c r="D72" s="108"/>
    </row>
    <row r="73" spans="1:4" ht="84">
      <c r="A73" s="107" t="s">
        <v>337</v>
      </c>
      <c r="B73" s="189"/>
      <c r="C73" s="131"/>
      <c r="D73" s="108"/>
    </row>
    <row r="74" spans="1:4" ht="50.25">
      <c r="A74" s="107" t="s">
        <v>338</v>
      </c>
      <c r="B74" s="189"/>
      <c r="C74" s="131"/>
      <c r="D74" s="108"/>
    </row>
    <row r="75" spans="1:4" ht="42" customHeight="1">
      <c r="A75" s="107" t="s">
        <v>339</v>
      </c>
      <c r="B75" s="189"/>
      <c r="C75" s="131"/>
      <c r="D75" s="108"/>
    </row>
    <row r="76" spans="1:4" ht="102.75" customHeight="1">
      <c r="A76" s="111" t="s">
        <v>340</v>
      </c>
      <c r="B76" s="190"/>
      <c r="C76" s="132"/>
      <c r="D76" s="112"/>
    </row>
    <row r="77" spans="1:6" ht="66.75">
      <c r="A77" s="114" t="s">
        <v>341</v>
      </c>
      <c r="B77" s="188" t="s">
        <v>335</v>
      </c>
      <c r="C77" s="155">
        <v>13691.01</v>
      </c>
      <c r="D77" s="118">
        <v>1.74</v>
      </c>
      <c r="E77" s="150"/>
      <c r="F77" s="157"/>
    </row>
    <row r="78" spans="1:4" ht="150.75">
      <c r="A78" s="110" t="s">
        <v>342</v>
      </c>
      <c r="B78" s="189"/>
      <c r="C78" s="131"/>
      <c r="D78" s="108"/>
    </row>
    <row r="79" spans="1:4" ht="97.5" customHeight="1">
      <c r="A79" s="107" t="s">
        <v>343</v>
      </c>
      <c r="B79" s="189"/>
      <c r="C79" s="131"/>
      <c r="D79" s="108"/>
    </row>
    <row r="80" spans="1:4" ht="50.25">
      <c r="A80" s="107" t="s">
        <v>344</v>
      </c>
      <c r="B80" s="189"/>
      <c r="C80" s="131"/>
      <c r="D80" s="108"/>
    </row>
    <row r="81" spans="1:4" ht="66.75">
      <c r="A81" s="107" t="s">
        <v>345</v>
      </c>
      <c r="B81" s="189"/>
      <c r="C81" s="131"/>
      <c r="D81" s="108"/>
    </row>
    <row r="82" spans="1:4" ht="65.25" customHeight="1">
      <c r="A82" s="107" t="s">
        <v>346</v>
      </c>
      <c r="B82" s="189"/>
      <c r="C82" s="131"/>
      <c r="D82" s="108"/>
    </row>
    <row r="83" spans="1:4" ht="69" customHeight="1">
      <c r="A83" s="107" t="s">
        <v>347</v>
      </c>
      <c r="B83" s="189"/>
      <c r="C83" s="131"/>
      <c r="D83" s="108"/>
    </row>
    <row r="84" spans="1:4" ht="37.5" customHeight="1">
      <c r="A84" s="107" t="s">
        <v>348</v>
      </c>
      <c r="B84" s="189"/>
      <c r="C84" s="131"/>
      <c r="D84" s="108"/>
    </row>
    <row r="85" spans="1:4" ht="37.5" customHeight="1">
      <c r="A85" s="111" t="s">
        <v>349</v>
      </c>
      <c r="B85" s="190"/>
      <c r="C85" s="132"/>
      <c r="D85" s="112"/>
    </row>
    <row r="86" spans="1:6" ht="66.75">
      <c r="A86" s="114" t="s">
        <v>350</v>
      </c>
      <c r="B86" s="188" t="s">
        <v>335</v>
      </c>
      <c r="C86" s="155">
        <v>29034.4</v>
      </c>
      <c r="D86" s="118">
        <v>3.69</v>
      </c>
      <c r="E86" s="150"/>
      <c r="F86" s="157"/>
    </row>
    <row r="87" spans="1:4" ht="66.75">
      <c r="A87" s="107" t="s">
        <v>351</v>
      </c>
      <c r="B87" s="189"/>
      <c r="C87" s="131"/>
      <c r="D87" s="108"/>
    </row>
    <row r="88" spans="1:4" ht="33">
      <c r="A88" s="107" t="s">
        <v>352</v>
      </c>
      <c r="B88" s="189"/>
      <c r="C88" s="131"/>
      <c r="D88" s="108"/>
    </row>
    <row r="89" spans="1:4" ht="16.5">
      <c r="A89" s="107" t="s">
        <v>353</v>
      </c>
      <c r="B89" s="189"/>
      <c r="C89" s="131"/>
      <c r="D89" s="108"/>
    </row>
    <row r="90" spans="1:4" ht="106.5" customHeight="1">
      <c r="A90" s="116" t="s">
        <v>354</v>
      </c>
      <c r="B90" s="190"/>
      <c r="C90" s="132"/>
      <c r="D90" s="112"/>
    </row>
    <row r="91" spans="1:6" ht="50.25">
      <c r="A91" s="114" t="s">
        <v>355</v>
      </c>
      <c r="B91" s="188" t="s">
        <v>335</v>
      </c>
      <c r="C91" s="155">
        <v>3698.15</v>
      </c>
      <c r="D91" s="118">
        <v>0.47</v>
      </c>
      <c r="E91" s="150"/>
      <c r="F91" s="157"/>
    </row>
    <row r="92" spans="1:4" ht="50.25">
      <c r="A92" s="107" t="s">
        <v>356</v>
      </c>
      <c r="B92" s="189"/>
      <c r="C92" s="131"/>
      <c r="D92" s="108"/>
    </row>
    <row r="93" spans="1:4" ht="50.25">
      <c r="A93" s="107" t="s">
        <v>357</v>
      </c>
      <c r="B93" s="189"/>
      <c r="C93" s="131"/>
      <c r="D93" s="108"/>
    </row>
    <row r="94" spans="1:4" ht="33">
      <c r="A94" s="107" t="s">
        <v>358</v>
      </c>
      <c r="B94" s="189"/>
      <c r="C94" s="131"/>
      <c r="D94" s="108"/>
    </row>
    <row r="95" spans="1:4" ht="150.75">
      <c r="A95" s="110" t="s">
        <v>359</v>
      </c>
      <c r="B95" s="189"/>
      <c r="C95" s="131"/>
      <c r="D95" s="108"/>
    </row>
    <row r="96" spans="1:4" ht="50.25">
      <c r="A96" s="111" t="s">
        <v>360</v>
      </c>
      <c r="B96" s="190"/>
      <c r="C96" s="132"/>
      <c r="D96" s="112"/>
    </row>
    <row r="97" spans="1:6" ht="50.25">
      <c r="A97" s="114" t="s">
        <v>361</v>
      </c>
      <c r="B97" s="188" t="s">
        <v>335</v>
      </c>
      <c r="C97" s="155">
        <v>0</v>
      </c>
      <c r="D97" s="118">
        <v>0</v>
      </c>
      <c r="E97" s="150"/>
      <c r="F97" s="157"/>
    </row>
    <row r="98" spans="1:4" ht="33">
      <c r="A98" s="107" t="s">
        <v>362</v>
      </c>
      <c r="B98" s="189"/>
      <c r="C98" s="108"/>
      <c r="D98" s="108"/>
    </row>
    <row r="99" spans="1:4" ht="33">
      <c r="A99" s="107" t="s">
        <v>363</v>
      </c>
      <c r="B99" s="189"/>
      <c r="C99" s="108"/>
      <c r="D99" s="108"/>
    </row>
    <row r="100" spans="1:4" ht="50.25">
      <c r="A100" s="107" t="s">
        <v>364</v>
      </c>
      <c r="B100" s="189"/>
      <c r="C100" s="108"/>
      <c r="D100" s="108"/>
    </row>
    <row r="101" spans="1:4" ht="118.5" customHeight="1">
      <c r="A101" s="116" t="s">
        <v>365</v>
      </c>
      <c r="B101" s="190"/>
      <c r="C101" s="112"/>
      <c r="D101" s="112"/>
    </row>
    <row r="102" spans="1:6" ht="45.75" customHeight="1">
      <c r="A102" s="199" t="s">
        <v>366</v>
      </c>
      <c r="B102" s="200"/>
      <c r="C102" s="154">
        <f>C97+C91+C86+C77+C65</f>
        <v>47289.08</v>
      </c>
      <c r="D102" s="154">
        <f>D97+D91+D86+D77+D65</f>
        <v>6.010000000000001</v>
      </c>
      <c r="F102" s="157"/>
    </row>
    <row r="103" spans="1:4" ht="16.5">
      <c r="A103" s="196" t="s">
        <v>367</v>
      </c>
      <c r="B103" s="197"/>
      <c r="C103" s="197"/>
      <c r="D103" s="198"/>
    </row>
    <row r="104" spans="1:6" ht="33">
      <c r="A104" s="114" t="s">
        <v>368</v>
      </c>
      <c r="B104" s="188" t="s">
        <v>335</v>
      </c>
      <c r="C104" s="155">
        <v>21559.42</v>
      </c>
      <c r="D104" s="118">
        <v>2.74</v>
      </c>
      <c r="E104" s="150"/>
      <c r="F104" s="157"/>
    </row>
    <row r="105" spans="1:4" ht="48" customHeight="1">
      <c r="A105" s="107" t="s">
        <v>369</v>
      </c>
      <c r="B105" s="189"/>
      <c r="C105" s="131"/>
      <c r="D105" s="108"/>
    </row>
    <row r="106" spans="1:4" ht="84">
      <c r="A106" s="107" t="s">
        <v>370</v>
      </c>
      <c r="B106" s="189"/>
      <c r="C106" s="131"/>
      <c r="D106" s="108"/>
    </row>
    <row r="107" spans="1:4" ht="16.5">
      <c r="A107" s="107" t="s">
        <v>371</v>
      </c>
      <c r="B107" s="189"/>
      <c r="C107" s="131"/>
      <c r="D107" s="108"/>
    </row>
    <row r="108" spans="1:4" ht="33">
      <c r="A108" s="107" t="s">
        <v>372</v>
      </c>
      <c r="B108" s="189"/>
      <c r="C108" s="131"/>
      <c r="D108" s="108"/>
    </row>
    <row r="109" spans="1:4" ht="87.75" customHeight="1">
      <c r="A109" s="116" t="s">
        <v>373</v>
      </c>
      <c r="B109" s="190"/>
      <c r="C109" s="132"/>
      <c r="D109" s="112"/>
    </row>
    <row r="110" spans="1:6" ht="131.25" customHeight="1">
      <c r="A110" s="119" t="s">
        <v>374</v>
      </c>
      <c r="B110" s="188" t="s">
        <v>375</v>
      </c>
      <c r="C110" s="155">
        <v>708.16</v>
      </c>
      <c r="D110" s="118">
        <v>0.09</v>
      </c>
      <c r="E110" s="150"/>
      <c r="F110" s="157"/>
    </row>
    <row r="111" spans="1:4" ht="50.25">
      <c r="A111" s="107" t="s">
        <v>376</v>
      </c>
      <c r="B111" s="189"/>
      <c r="C111" s="131"/>
      <c r="D111" s="108"/>
    </row>
    <row r="112" spans="1:4" ht="50.25">
      <c r="A112" s="107" t="s">
        <v>377</v>
      </c>
      <c r="B112" s="189"/>
      <c r="C112" s="131"/>
      <c r="D112" s="108"/>
    </row>
    <row r="113" spans="1:4" ht="50.25">
      <c r="A113" s="107" t="s">
        <v>378</v>
      </c>
      <c r="B113" s="189"/>
      <c r="C113" s="131"/>
      <c r="D113" s="108"/>
    </row>
    <row r="114" spans="1:4" ht="16.5">
      <c r="A114" s="107" t="s">
        <v>379</v>
      </c>
      <c r="B114" s="189"/>
      <c r="C114" s="131"/>
      <c r="D114" s="108"/>
    </row>
    <row r="115" spans="1:4" ht="84">
      <c r="A115" s="107" t="s">
        <v>380</v>
      </c>
      <c r="B115" s="189"/>
      <c r="C115" s="131"/>
      <c r="D115" s="108"/>
    </row>
    <row r="116" spans="1:4" ht="33">
      <c r="A116" s="111" t="s">
        <v>381</v>
      </c>
      <c r="B116" s="190"/>
      <c r="C116" s="132"/>
      <c r="D116" s="112"/>
    </row>
    <row r="117" spans="1:6" ht="33">
      <c r="A117" s="114" t="s">
        <v>382</v>
      </c>
      <c r="B117" s="188" t="s">
        <v>375</v>
      </c>
      <c r="C117" s="155">
        <v>1337.63</v>
      </c>
      <c r="D117" s="118">
        <v>0.17</v>
      </c>
      <c r="E117" s="150"/>
      <c r="F117" s="157"/>
    </row>
    <row r="118" spans="1:4" ht="16.5">
      <c r="A118" s="107" t="s">
        <v>383</v>
      </c>
      <c r="B118" s="189"/>
      <c r="C118" s="131"/>
      <c r="D118" s="108"/>
    </row>
    <row r="119" spans="1:4" ht="84">
      <c r="A119" s="107" t="s">
        <v>384</v>
      </c>
      <c r="B119" s="189"/>
      <c r="C119" s="131"/>
      <c r="D119" s="108"/>
    </row>
    <row r="120" spans="1:4" ht="16.5">
      <c r="A120" s="107" t="s">
        <v>385</v>
      </c>
      <c r="B120" s="189"/>
      <c r="C120" s="131"/>
      <c r="D120" s="108"/>
    </row>
    <row r="121" spans="1:4" ht="16.5">
      <c r="A121" s="107" t="s">
        <v>386</v>
      </c>
      <c r="B121" s="189"/>
      <c r="C121" s="131"/>
      <c r="D121" s="108"/>
    </row>
    <row r="122" spans="1:4" ht="219" customHeight="1">
      <c r="A122" s="116" t="s">
        <v>387</v>
      </c>
      <c r="B122" s="190"/>
      <c r="C122" s="132"/>
      <c r="D122" s="112"/>
    </row>
    <row r="123" spans="1:6" s="148" customFormat="1" ht="127.5" customHeight="1">
      <c r="A123" s="159" t="s">
        <v>410</v>
      </c>
      <c r="B123" s="158" t="s">
        <v>405</v>
      </c>
      <c r="C123" s="155">
        <v>5979.98</v>
      </c>
      <c r="D123" s="149">
        <v>0.76</v>
      </c>
      <c r="E123" s="150"/>
      <c r="F123" s="157"/>
    </row>
    <row r="124" spans="1:6" ht="288.75" customHeight="1">
      <c r="A124" s="120" t="s">
        <v>388</v>
      </c>
      <c r="B124" s="121" t="s">
        <v>375</v>
      </c>
      <c r="C124" s="155">
        <v>1416.31</v>
      </c>
      <c r="D124" s="118">
        <v>0.1785</v>
      </c>
      <c r="E124" s="150"/>
      <c r="F124" s="156"/>
    </row>
    <row r="125" spans="1:5" ht="349.5" customHeight="1">
      <c r="A125" s="122" t="s">
        <v>389</v>
      </c>
      <c r="B125" s="121" t="s">
        <v>375</v>
      </c>
      <c r="C125" s="155">
        <v>7947.08</v>
      </c>
      <c r="D125" s="118">
        <v>1.01</v>
      </c>
      <c r="E125" s="150"/>
    </row>
    <row r="126" spans="1:6" ht="16.5">
      <c r="A126" s="199" t="s">
        <v>390</v>
      </c>
      <c r="B126" s="200"/>
      <c r="C126" s="154">
        <f>SUM(C104:C125)</f>
        <v>38948.58</v>
      </c>
      <c r="D126" s="154">
        <f>D125+D124+D123+D117+D110+D104</f>
        <v>4.9485</v>
      </c>
      <c r="F126" s="157"/>
    </row>
    <row r="127" spans="1:4" ht="53.25" customHeight="1">
      <c r="A127" s="192" t="s">
        <v>391</v>
      </c>
      <c r="B127" s="201"/>
      <c r="C127" s="201"/>
      <c r="D127" s="193"/>
    </row>
    <row r="128" spans="1:6" ht="35.25" customHeight="1">
      <c r="A128" s="123" t="s">
        <v>392</v>
      </c>
      <c r="B128" s="188" t="s">
        <v>375</v>
      </c>
      <c r="C128" s="204">
        <v>31630.97</v>
      </c>
      <c r="D128" s="207">
        <v>4.02</v>
      </c>
      <c r="E128" s="150"/>
      <c r="F128" s="157"/>
    </row>
    <row r="129" spans="1:4" ht="50.25">
      <c r="A129" s="124" t="s">
        <v>393</v>
      </c>
      <c r="B129" s="189"/>
      <c r="C129" s="205">
        <v>0</v>
      </c>
      <c r="D129" s="208"/>
    </row>
    <row r="130" spans="1:4" ht="170.25" customHeight="1">
      <c r="A130" s="125" t="s">
        <v>394</v>
      </c>
      <c r="B130" s="189"/>
      <c r="C130" s="205">
        <v>0</v>
      </c>
      <c r="D130" s="208"/>
    </row>
    <row r="131" spans="1:4" ht="114.75" customHeight="1">
      <c r="A131" s="125" t="s">
        <v>395</v>
      </c>
      <c r="B131" s="189"/>
      <c r="C131" s="205">
        <v>0</v>
      </c>
      <c r="D131" s="208"/>
    </row>
    <row r="132" spans="1:4" ht="134.25">
      <c r="A132" s="125" t="s">
        <v>396</v>
      </c>
      <c r="B132" s="189"/>
      <c r="C132" s="205">
        <v>0</v>
      </c>
      <c r="D132" s="208"/>
    </row>
    <row r="133" spans="1:5" ht="33">
      <c r="A133" s="124" t="s">
        <v>397</v>
      </c>
      <c r="B133" s="202"/>
      <c r="C133" s="205" t="e">
        <v>#VALUE!</v>
      </c>
      <c r="D133" s="208"/>
      <c r="E133" s="150"/>
    </row>
    <row r="134" spans="1:4" ht="33">
      <c r="A134" s="124" t="s">
        <v>398</v>
      </c>
      <c r="B134" s="203"/>
      <c r="C134" s="206">
        <v>0</v>
      </c>
      <c r="D134" s="209"/>
    </row>
    <row r="135" spans="1:5" ht="45" customHeight="1">
      <c r="A135" s="199" t="s">
        <v>399</v>
      </c>
      <c r="B135" s="200"/>
      <c r="C135" s="154">
        <v>31630.97</v>
      </c>
      <c r="D135" s="117">
        <v>4.02</v>
      </c>
      <c r="E135" s="150"/>
    </row>
    <row r="136" spans="1:7" ht="29.25" customHeight="1">
      <c r="A136" s="199" t="s">
        <v>48</v>
      </c>
      <c r="B136" s="200"/>
      <c r="C136" s="151">
        <f>C135+C126+C102+C63</f>
        <v>175858.74000000002</v>
      </c>
      <c r="D136" s="126">
        <v>22.348499999999998</v>
      </c>
      <c r="E136" s="161"/>
      <c r="F136" s="157"/>
      <c r="G136" s="99"/>
    </row>
    <row r="137" spans="1:7" ht="16.5">
      <c r="A137" s="127"/>
      <c r="G137" s="100"/>
    </row>
    <row r="139" spans="1:5" s="147" customFormat="1" ht="32.25" customHeight="1">
      <c r="A139" s="144" t="s">
        <v>407</v>
      </c>
      <c r="B139" s="145"/>
      <c r="C139" s="145"/>
      <c r="D139" s="146" t="s">
        <v>408</v>
      </c>
      <c r="E139" s="162"/>
    </row>
    <row r="140" spans="1:5" s="101" customFormat="1" ht="16.5">
      <c r="A140" s="128"/>
      <c r="B140" s="129"/>
      <c r="C140" s="129"/>
      <c r="D140" s="129"/>
      <c r="E140" s="163"/>
    </row>
    <row r="141" spans="1:7" ht="15">
      <c r="A141" s="135" t="s">
        <v>404</v>
      </c>
      <c r="B141" s="136"/>
      <c r="C141" s="137"/>
      <c r="D141" s="136"/>
      <c r="E141" s="164"/>
      <c r="F141" s="137"/>
      <c r="G141" s="138"/>
    </row>
    <row r="142" spans="1:7" ht="15">
      <c r="A142" s="139"/>
      <c r="B142" s="140"/>
      <c r="C142" s="140"/>
      <c r="D142" s="140"/>
      <c r="E142" s="141"/>
      <c r="F142" s="140"/>
      <c r="G142"/>
    </row>
  </sheetData>
  <sheetProtection/>
  <mergeCells count="41">
    <mergeCell ref="B4:D4"/>
    <mergeCell ref="B1:D1"/>
    <mergeCell ref="B2:D2"/>
    <mergeCell ref="B3:D3"/>
    <mergeCell ref="B97:B101"/>
    <mergeCell ref="A102:B102"/>
    <mergeCell ref="B47:B53"/>
    <mergeCell ref="B54:B56"/>
    <mergeCell ref="B57:B58"/>
    <mergeCell ref="B59:B60"/>
    <mergeCell ref="A135:B135"/>
    <mergeCell ref="A136:B136"/>
    <mergeCell ref="A126:B126"/>
    <mergeCell ref="A127:D127"/>
    <mergeCell ref="B128:B134"/>
    <mergeCell ref="C128:C134"/>
    <mergeCell ref="D128:D134"/>
    <mergeCell ref="B110:B116"/>
    <mergeCell ref="B117:B122"/>
    <mergeCell ref="A64:D64"/>
    <mergeCell ref="B65:B70"/>
    <mergeCell ref="B71:B76"/>
    <mergeCell ref="B77:B85"/>
    <mergeCell ref="B86:B90"/>
    <mergeCell ref="B91:B96"/>
    <mergeCell ref="A103:D103"/>
    <mergeCell ref="B104:B109"/>
    <mergeCell ref="A63:B63"/>
    <mergeCell ref="B20:B23"/>
    <mergeCell ref="B24:B27"/>
    <mergeCell ref="B28:B31"/>
    <mergeCell ref="B32:B34"/>
    <mergeCell ref="B35:B42"/>
    <mergeCell ref="B43:B46"/>
    <mergeCell ref="A6:D6"/>
    <mergeCell ref="A7:D7"/>
    <mergeCell ref="A11:D11"/>
    <mergeCell ref="B12:B15"/>
    <mergeCell ref="B16:B19"/>
    <mergeCell ref="B61:B62"/>
    <mergeCell ref="A8:D8"/>
  </mergeCells>
  <printOptions horizontalCentered="1"/>
  <pageMargins left="0.35433070866141736" right="0.15748031496062992" top="0.1968503937007874" bottom="0.1968503937007874" header="0" footer="0"/>
  <pageSetup fitToHeight="10"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ФЭО 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terehinasvyu</dc:creator>
  <cp:keywords/>
  <dc:description/>
  <cp:lastModifiedBy>79228860738</cp:lastModifiedBy>
  <cp:lastPrinted>2019-04-10T10:47:22Z</cp:lastPrinted>
  <dcterms:created xsi:type="dcterms:W3CDTF">2014-06-05T12:10:31Z</dcterms:created>
  <dcterms:modified xsi:type="dcterms:W3CDTF">2022-08-03T09:17:14Z</dcterms:modified>
  <cp:category/>
  <cp:version/>
  <cp:contentType/>
  <cp:contentStatus/>
</cp:coreProperties>
</file>